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0730" windowHeight="9405" firstSheet="5" activeTab="11"/>
  </bookViews>
  <sheets>
    <sheet name="Turn " sheetId="9" r:id="rId1"/>
    <sheet name="Ski" sheetId="10" r:id="rId2"/>
    <sheet name="Fotball" sheetId="5" r:id="rId3"/>
    <sheet name="Fotball lagvis" sheetId="21" r:id="rId4"/>
    <sheet name="Sykkel" sheetId="4" r:id="rId5"/>
    <sheet name="G &amp; T" sheetId="11" r:id="rId6"/>
    <sheet name="TKD" sheetId="24" r:id="rId7"/>
    <sheet name="Hovedlaget" sheetId="2" r:id="rId8"/>
    <sheet name="Anlegg" sheetId="3" r:id="rId9"/>
    <sheet name="Prestmarka" sheetId="7" r:id="rId10"/>
    <sheet name="Blilie" sheetId="6" r:id="rId11"/>
    <sheet name="Regnskap-Budsjett 2017" sheetId="1" r:id="rId12"/>
    <sheet name="Investeringer " sheetId="20" r:id="rId13"/>
  </sheets>
  <definedNames>
    <definedName name="_xlnm.Print_Area" localSheetId="11">'Regnskap-Budsjett 2017'!$A$1:$AD$4</definedName>
    <definedName name="_xlnm.Print_Titles" localSheetId="11">'Regnskap-Budsjett 2017'!$1:$4</definedName>
  </definedNames>
  <calcPr calcId="145621"/>
</workbook>
</file>

<file path=xl/calcChain.xml><?xml version="1.0" encoding="utf-8"?>
<calcChain xmlns="http://schemas.openxmlformats.org/spreadsheetml/2006/main">
  <c r="W30" i="1" l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22" i="1"/>
  <c r="W23" i="1"/>
  <c r="W24" i="1"/>
  <c r="W25" i="1"/>
  <c r="W26" i="1"/>
  <c r="W27" i="1"/>
  <c r="W28" i="1"/>
  <c r="W29" i="1"/>
  <c r="W31" i="1"/>
  <c r="W58" i="1"/>
  <c r="AD58" i="1" s="1"/>
  <c r="J59" i="2"/>
  <c r="K9" i="21" l="1"/>
  <c r="K10" i="21"/>
  <c r="AC12" i="1"/>
  <c r="H4" i="2"/>
  <c r="AA14" i="21"/>
  <c r="AA18" i="21"/>
  <c r="U51" i="21"/>
  <c r="V18" i="21"/>
  <c r="H16" i="2" l="1"/>
  <c r="H14" i="2"/>
  <c r="I61" i="4"/>
  <c r="J61" i="4"/>
  <c r="J54" i="4"/>
  <c r="J52" i="4"/>
  <c r="J15" i="9" l="1"/>
  <c r="Q14" i="21" l="1"/>
  <c r="Q21" i="21" s="1"/>
  <c r="Q50" i="21"/>
  <c r="M64" i="21" l="1"/>
  <c r="AE21" i="21" l="1"/>
  <c r="H6" i="9"/>
  <c r="H45" i="7"/>
  <c r="H45" i="6"/>
  <c r="H26" i="6"/>
  <c r="H40" i="3"/>
  <c r="H32" i="3"/>
  <c r="H45" i="2"/>
  <c r="H26" i="2"/>
  <c r="H32" i="2"/>
  <c r="H23" i="2"/>
  <c r="H23" i="7"/>
  <c r="H23" i="6"/>
  <c r="H18" i="3"/>
  <c r="Q66" i="21" l="1"/>
  <c r="Q51" i="21"/>
  <c r="Q18" i="2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21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5" i="1"/>
  <c r="R60" i="1"/>
  <c r="D59" i="24"/>
  <c r="D52" i="24"/>
  <c r="D18" i="24"/>
  <c r="D54" i="24" s="1"/>
  <c r="D61" i="24" s="1"/>
  <c r="R53" i="1" l="1"/>
  <c r="R19" i="1"/>
  <c r="W21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5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21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5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21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5" i="1"/>
  <c r="J52" i="2"/>
  <c r="J18" i="2"/>
  <c r="R55" i="1" l="1"/>
  <c r="R62" i="1" s="1"/>
  <c r="J54" i="2"/>
  <c r="J61" i="2" s="1"/>
  <c r="K58" i="1"/>
  <c r="E58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21" i="1"/>
  <c r="E6" i="1"/>
  <c r="E7" i="1"/>
  <c r="E8" i="1"/>
  <c r="E9" i="1"/>
  <c r="E10" i="1"/>
  <c r="E11" i="1"/>
  <c r="E12" i="1"/>
  <c r="E13" i="1"/>
  <c r="E15" i="1"/>
  <c r="E17" i="1"/>
  <c r="E18" i="1"/>
  <c r="E5" i="1"/>
  <c r="S58" i="1"/>
  <c r="S60" i="1" s="1"/>
  <c r="T58" i="1"/>
  <c r="T60" i="1" s="1"/>
  <c r="S53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21" i="1"/>
  <c r="S19" i="1"/>
  <c r="S55" i="1" s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5" i="1"/>
  <c r="E59" i="24"/>
  <c r="F59" i="24"/>
  <c r="E30" i="24"/>
  <c r="E52" i="24"/>
  <c r="E54" i="24" s="1"/>
  <c r="E61" i="24" s="1"/>
  <c r="F52" i="24"/>
  <c r="E18" i="24"/>
  <c r="F18" i="24"/>
  <c r="F54" i="24" s="1"/>
  <c r="F61" i="24" s="1"/>
  <c r="J13" i="9"/>
  <c r="E14" i="1" s="1"/>
  <c r="E16" i="1"/>
  <c r="T19" i="1" l="1"/>
  <c r="S62" i="1"/>
  <c r="T53" i="1"/>
  <c r="R18" i="21"/>
  <c r="R14" i="21"/>
  <c r="R9" i="21"/>
  <c r="AG46" i="21"/>
  <c r="T55" i="1" l="1"/>
  <c r="T62" i="1" s="1"/>
  <c r="J59" i="7"/>
  <c r="J52" i="7"/>
  <c r="J18" i="7"/>
  <c r="J59" i="6"/>
  <c r="J52" i="6"/>
  <c r="J54" i="6" s="1"/>
  <c r="J61" i="6" s="1"/>
  <c r="J18" i="6"/>
  <c r="J52" i="3"/>
  <c r="J18" i="3"/>
  <c r="J21" i="5"/>
  <c r="K22" i="1" s="1"/>
  <c r="J23" i="5"/>
  <c r="K24" i="1" s="1"/>
  <c r="J24" i="5"/>
  <c r="K25" i="1" s="1"/>
  <c r="J25" i="5"/>
  <c r="K26" i="1" s="1"/>
  <c r="J26" i="5"/>
  <c r="K27" i="1" s="1"/>
  <c r="J27" i="5"/>
  <c r="K28" i="1" s="1"/>
  <c r="J28" i="5"/>
  <c r="K29" i="1" s="1"/>
  <c r="J29" i="5"/>
  <c r="K30" i="1" s="1"/>
  <c r="J31" i="5"/>
  <c r="K32" i="1" s="1"/>
  <c r="J32" i="5"/>
  <c r="K33" i="1" s="1"/>
  <c r="J33" i="5"/>
  <c r="K34" i="1" s="1"/>
  <c r="J34" i="5"/>
  <c r="K35" i="1" s="1"/>
  <c r="J35" i="5"/>
  <c r="K36" i="1" s="1"/>
  <c r="J36" i="5"/>
  <c r="K37" i="1" s="1"/>
  <c r="J38" i="5"/>
  <c r="K39" i="1" s="1"/>
  <c r="J39" i="5"/>
  <c r="K40" i="1" s="1"/>
  <c r="J40" i="5"/>
  <c r="K41" i="1" s="1"/>
  <c r="J42" i="5"/>
  <c r="K43" i="1" s="1"/>
  <c r="AD43" i="1" s="1"/>
  <c r="J49" i="5"/>
  <c r="K50" i="1" s="1"/>
  <c r="J51" i="5"/>
  <c r="K52" i="1" s="1"/>
  <c r="J5" i="5"/>
  <c r="K6" i="1" s="1"/>
  <c r="AD6" i="1" s="1"/>
  <c r="J7" i="5"/>
  <c r="K8" i="1" s="1"/>
  <c r="AD8" i="1" s="1"/>
  <c r="J8" i="5"/>
  <c r="K9" i="1" s="1"/>
  <c r="AD9" i="1" s="1"/>
  <c r="J9" i="5"/>
  <c r="K10" i="1" s="1"/>
  <c r="AD10" i="1" s="1"/>
  <c r="J10" i="5"/>
  <c r="K11" i="1" s="1"/>
  <c r="AD11" i="1" s="1"/>
  <c r="J12" i="5"/>
  <c r="K13" i="1" s="1"/>
  <c r="AD13" i="1" s="1"/>
  <c r="J16" i="5"/>
  <c r="K17" i="1" s="1"/>
  <c r="AD17" i="1" s="1"/>
  <c r="J17" i="5"/>
  <c r="K18" i="1" s="1"/>
  <c r="AD18" i="1" s="1"/>
  <c r="J4" i="5"/>
  <c r="K5" i="1" s="1"/>
  <c r="AD5" i="1" s="1"/>
  <c r="J18" i="10"/>
  <c r="J59" i="10"/>
  <c r="J52" i="10"/>
  <c r="J54" i="10" s="1"/>
  <c r="J61" i="10" s="1"/>
  <c r="J52" i="9"/>
  <c r="J18" i="9"/>
  <c r="O64" i="21"/>
  <c r="N62" i="21"/>
  <c r="N24" i="21"/>
  <c r="N25" i="21"/>
  <c r="J22" i="5" s="1"/>
  <c r="K23" i="1" s="1"/>
  <c r="N26" i="21"/>
  <c r="N27" i="21"/>
  <c r="N28" i="21"/>
  <c r="N29" i="21"/>
  <c r="N30" i="21"/>
  <c r="N31" i="21"/>
  <c r="N32" i="21"/>
  <c r="N33" i="21"/>
  <c r="J30" i="5" s="1"/>
  <c r="K31" i="1" s="1"/>
  <c r="N34" i="21"/>
  <c r="N35" i="21"/>
  <c r="N36" i="21"/>
  <c r="N37" i="21"/>
  <c r="N38" i="21"/>
  <c r="N39" i="21"/>
  <c r="N40" i="21"/>
  <c r="J37" i="5" s="1"/>
  <c r="K38" i="1" s="1"/>
  <c r="N41" i="21"/>
  <c r="N42" i="21"/>
  <c r="N43" i="21"/>
  <c r="N44" i="21"/>
  <c r="J41" i="5" s="1"/>
  <c r="K42" i="1" s="1"/>
  <c r="N45" i="21"/>
  <c r="N46" i="21"/>
  <c r="J43" i="5" s="1"/>
  <c r="K44" i="1" s="1"/>
  <c r="N47" i="21"/>
  <c r="J44" i="5" s="1"/>
  <c r="K45" i="1" s="1"/>
  <c r="N48" i="21"/>
  <c r="J45" i="5" s="1"/>
  <c r="K46" i="1" s="1"/>
  <c r="N49" i="21"/>
  <c r="J46" i="5" s="1"/>
  <c r="K47" i="1" s="1"/>
  <c r="N50" i="21"/>
  <c r="J47" i="5" s="1"/>
  <c r="K48" i="1" s="1"/>
  <c r="N51" i="21"/>
  <c r="J48" i="5" s="1"/>
  <c r="K49" i="1" s="1"/>
  <c r="N52" i="21"/>
  <c r="N53" i="21"/>
  <c r="J50" i="5" s="1"/>
  <c r="K51" i="1" s="1"/>
  <c r="N54" i="21"/>
  <c r="N23" i="21"/>
  <c r="J20" i="5" s="1"/>
  <c r="K21" i="1" s="1"/>
  <c r="N8" i="21"/>
  <c r="N9" i="21"/>
  <c r="J6" i="5" s="1"/>
  <c r="K7" i="1" s="1"/>
  <c r="AD7" i="1" s="1"/>
  <c r="N10" i="21"/>
  <c r="N11" i="21"/>
  <c r="N12" i="21"/>
  <c r="N13" i="21"/>
  <c r="N14" i="21"/>
  <c r="J11" i="5" s="1"/>
  <c r="K12" i="1" s="1"/>
  <c r="AD12" i="1" s="1"/>
  <c r="N15" i="21"/>
  <c r="N16" i="21"/>
  <c r="J13" i="5" s="1"/>
  <c r="K14" i="1" s="1"/>
  <c r="AD14" i="1" s="1"/>
  <c r="N17" i="21"/>
  <c r="J14" i="5" s="1"/>
  <c r="K15" i="1" s="1"/>
  <c r="AD15" i="1" s="1"/>
  <c r="N18" i="21"/>
  <c r="J15" i="5" s="1"/>
  <c r="K16" i="1" s="1"/>
  <c r="AD16" i="1" s="1"/>
  <c r="N19" i="21"/>
  <c r="N20" i="21"/>
  <c r="N7" i="21"/>
  <c r="R21" i="21"/>
  <c r="S21" i="21"/>
  <c r="R55" i="21"/>
  <c r="S55" i="21"/>
  <c r="S57" i="21"/>
  <c r="S64" i="21"/>
  <c r="P64" i="21"/>
  <c r="W64" i="21"/>
  <c r="Y64" i="21"/>
  <c r="T64" i="21"/>
  <c r="Z64" i="21"/>
  <c r="AE62" i="21"/>
  <c r="AA62" i="21"/>
  <c r="AB62" i="21"/>
  <c r="X62" i="21"/>
  <c r="Y62" i="21"/>
  <c r="AG55" i="21"/>
  <c r="AB55" i="21"/>
  <c r="Y57" i="21"/>
  <c r="X55" i="21"/>
  <c r="Y55" i="21"/>
  <c r="X21" i="21"/>
  <c r="X57" i="21" s="1"/>
  <c r="X64" i="21" s="1"/>
  <c r="Y21" i="21"/>
  <c r="AB21" i="21"/>
  <c r="AG21" i="21"/>
  <c r="T14" i="21"/>
  <c r="T18" i="21"/>
  <c r="U21" i="21"/>
  <c r="T50" i="21"/>
  <c r="T51" i="21"/>
  <c r="U55" i="21"/>
  <c r="T62" i="21"/>
  <c r="U62" i="21"/>
  <c r="J54" i="7" l="1"/>
  <c r="J61" i="7" s="1"/>
  <c r="J54" i="3"/>
  <c r="J61" i="3" s="1"/>
  <c r="J54" i="9"/>
  <c r="J61" i="9" s="1"/>
  <c r="R57" i="21"/>
  <c r="R64" i="21" s="1"/>
  <c r="AG57" i="21"/>
  <c r="AG64" i="21" s="1"/>
  <c r="J52" i="5"/>
  <c r="N55" i="21"/>
  <c r="AB57" i="21"/>
  <c r="AB64" i="21" s="1"/>
  <c r="N21" i="21"/>
  <c r="J18" i="5"/>
  <c r="T55" i="21"/>
  <c r="U57" i="21"/>
  <c r="U64" i="21" s="1"/>
  <c r="T21" i="21"/>
  <c r="T57" i="21" s="1"/>
  <c r="K14" i="21"/>
  <c r="J54" i="5" l="1"/>
  <c r="J61" i="5" s="1"/>
  <c r="N57" i="21"/>
  <c r="N64" i="21" s="1"/>
  <c r="AA50" i="21"/>
  <c r="H31" i="7"/>
  <c r="H17" i="2"/>
  <c r="K18" i="21" l="1"/>
  <c r="K17" i="21"/>
  <c r="AC66" i="1" l="1"/>
  <c r="K7" i="21"/>
  <c r="K8" i="21"/>
  <c r="K11" i="21"/>
  <c r="K12" i="21"/>
  <c r="K13" i="21"/>
  <c r="K19" i="21"/>
  <c r="K20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49" i="21"/>
  <c r="K50" i="21"/>
  <c r="K51" i="21"/>
  <c r="K52" i="21"/>
  <c r="K53" i="21"/>
  <c r="K54" i="21"/>
  <c r="K48" i="21"/>
  <c r="Q16" i="21"/>
  <c r="P50" i="21"/>
  <c r="Q55" i="21"/>
  <c r="K16" i="21" l="1"/>
  <c r="K21" i="21"/>
  <c r="K55" i="21"/>
  <c r="H18" i="2"/>
  <c r="AA21" i="21" l="1"/>
  <c r="H18" i="7" l="1"/>
  <c r="H18" i="6"/>
  <c r="H59" i="2"/>
  <c r="H52" i="2"/>
  <c r="H52" i="10"/>
  <c r="H18" i="10"/>
  <c r="H52" i="9"/>
  <c r="H18" i="9"/>
  <c r="H52" i="7"/>
  <c r="H52" i="6"/>
  <c r="Q57" i="21"/>
  <c r="Q64" i="21" s="1"/>
  <c r="H59" i="4"/>
  <c r="H52" i="4"/>
  <c r="H54" i="4" s="1"/>
  <c r="H61" i="4" s="1"/>
  <c r="AE55" i="21"/>
  <c r="AA55" i="21"/>
  <c r="AA57" i="21" s="1"/>
  <c r="AA64" i="21" s="1"/>
  <c r="H59" i="3"/>
  <c r="H52" i="3"/>
  <c r="H54" i="3" s="1"/>
  <c r="H54" i="7" l="1"/>
  <c r="H61" i="7" s="1"/>
  <c r="H54" i="6"/>
  <c r="H61" i="6" s="1"/>
  <c r="H61" i="3"/>
  <c r="H54" i="9"/>
  <c r="Q67" i="21"/>
  <c r="H54" i="10"/>
  <c r="AE57" i="21"/>
  <c r="AE64" i="21" s="1"/>
  <c r="K57" i="21"/>
  <c r="K64" i="21" s="1"/>
  <c r="H54" i="2"/>
  <c r="H61" i="2" s="1"/>
  <c r="M24" i="21"/>
  <c r="M25" i="21"/>
  <c r="M26" i="21"/>
  <c r="M27" i="21"/>
  <c r="M28" i="21"/>
  <c r="M29" i="21"/>
  <c r="M30" i="21"/>
  <c r="M31" i="21"/>
  <c r="M32" i="21"/>
  <c r="M33" i="21"/>
  <c r="M34" i="21"/>
  <c r="M35" i="21"/>
  <c r="M36" i="21"/>
  <c r="M37" i="21"/>
  <c r="M38" i="21"/>
  <c r="M39" i="21"/>
  <c r="M40" i="21"/>
  <c r="M41" i="21"/>
  <c r="M42" i="21"/>
  <c r="M43" i="21"/>
  <c r="M44" i="21"/>
  <c r="M45" i="21"/>
  <c r="M47" i="21"/>
  <c r="M48" i="21"/>
  <c r="M49" i="21"/>
  <c r="M52" i="21"/>
  <c r="M53" i="21"/>
  <c r="M54" i="21"/>
  <c r="M23" i="21"/>
  <c r="M8" i="21"/>
  <c r="M9" i="21"/>
  <c r="M10" i="21"/>
  <c r="M11" i="21"/>
  <c r="M12" i="21"/>
  <c r="M13" i="21"/>
  <c r="M15" i="21"/>
  <c r="M16" i="21"/>
  <c r="M17" i="21"/>
  <c r="M19" i="21"/>
  <c r="M20" i="21"/>
  <c r="M7" i="21"/>
  <c r="H59" i="10"/>
  <c r="I59" i="10"/>
  <c r="H61" i="10" l="1"/>
  <c r="H61" i="9"/>
  <c r="L58" i="1"/>
  <c r="M58" i="1"/>
  <c r="V58" i="1"/>
  <c r="U58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21" i="1"/>
  <c r="L8" i="1"/>
  <c r="L9" i="1"/>
  <c r="L10" i="1"/>
  <c r="L11" i="1"/>
  <c r="L12" i="1"/>
  <c r="L13" i="1"/>
  <c r="L14" i="1"/>
  <c r="L15" i="1"/>
  <c r="L16" i="1"/>
  <c r="L17" i="1"/>
  <c r="L18" i="1"/>
  <c r="L7" i="1"/>
  <c r="V62" i="21" l="1"/>
  <c r="W62" i="21"/>
  <c r="V55" i="21"/>
  <c r="W55" i="21"/>
  <c r="V21" i="21"/>
  <c r="W21" i="21"/>
  <c r="Z62" i="21"/>
  <c r="Z55" i="21"/>
  <c r="Z21" i="21"/>
  <c r="Z57" i="21" l="1"/>
  <c r="V57" i="21"/>
  <c r="V64" i="21" s="1"/>
  <c r="W57" i="21"/>
  <c r="G58" i="1"/>
  <c r="P55" i="21"/>
  <c r="P21" i="21"/>
  <c r="H58" i="5"/>
  <c r="H57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20" i="5"/>
  <c r="H7" i="5"/>
  <c r="H8" i="5"/>
  <c r="H9" i="5"/>
  <c r="H10" i="5"/>
  <c r="H11" i="5"/>
  <c r="H12" i="5"/>
  <c r="H13" i="5"/>
  <c r="H14" i="5"/>
  <c r="H15" i="5"/>
  <c r="H16" i="5"/>
  <c r="H17" i="5"/>
  <c r="H4" i="5"/>
  <c r="H5" i="5"/>
  <c r="H6" i="5"/>
  <c r="AF14" i="21"/>
  <c r="H59" i="5" l="1"/>
  <c r="J58" i="1"/>
  <c r="H18" i="5"/>
  <c r="H52" i="5"/>
  <c r="P57" i="21"/>
  <c r="AH50" i="21"/>
  <c r="M18" i="21"/>
  <c r="M14" i="21"/>
  <c r="K65" i="21" l="1"/>
  <c r="H54" i="5"/>
  <c r="H61" i="5" s="1"/>
  <c r="I59" i="5"/>
  <c r="I8" i="5"/>
  <c r="I4" i="5"/>
  <c r="I5" i="5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21" i="1"/>
  <c r="J6" i="1"/>
  <c r="J7" i="1"/>
  <c r="AC7" i="1" s="1"/>
  <c r="J8" i="1"/>
  <c r="J9" i="1"/>
  <c r="J10" i="1"/>
  <c r="J11" i="1"/>
  <c r="J12" i="1"/>
  <c r="J13" i="1"/>
  <c r="J14" i="1"/>
  <c r="J15" i="1"/>
  <c r="J16" i="1"/>
  <c r="J17" i="1"/>
  <c r="J18" i="1"/>
  <c r="J5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AC52" i="1" s="1"/>
  <c r="V21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5" i="1"/>
  <c r="U22" i="1"/>
  <c r="U23" i="1"/>
  <c r="U24" i="1"/>
  <c r="U25" i="1"/>
  <c r="U26" i="1"/>
  <c r="U27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7" i="1"/>
  <c r="U48" i="1"/>
  <c r="U49" i="1"/>
  <c r="U50" i="1"/>
  <c r="U51" i="1"/>
  <c r="U52" i="1"/>
  <c r="U21" i="1"/>
  <c r="U6" i="1"/>
  <c r="U7" i="1"/>
  <c r="U8" i="1"/>
  <c r="U10" i="1"/>
  <c r="U12" i="1"/>
  <c r="U13" i="1"/>
  <c r="U14" i="1"/>
  <c r="U15" i="1"/>
  <c r="U16" i="1"/>
  <c r="U17" i="1"/>
  <c r="U18" i="1"/>
  <c r="U5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21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5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21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5" i="1"/>
  <c r="D22" i="1"/>
  <c r="AC22" i="1" s="1"/>
  <c r="D23" i="1"/>
  <c r="AC23" i="1" s="1"/>
  <c r="D24" i="1"/>
  <c r="D25" i="1"/>
  <c r="AC25" i="1" s="1"/>
  <c r="D26" i="1"/>
  <c r="AC26" i="1" s="1"/>
  <c r="D27" i="1"/>
  <c r="D28" i="1"/>
  <c r="D29" i="1"/>
  <c r="AC29" i="1" s="1"/>
  <c r="D30" i="1"/>
  <c r="D31" i="1"/>
  <c r="AC31" i="1" s="1"/>
  <c r="D32" i="1"/>
  <c r="AC32" i="1" s="1"/>
  <c r="D33" i="1"/>
  <c r="D34" i="1"/>
  <c r="AC34" i="1" s="1"/>
  <c r="D35" i="1"/>
  <c r="AC35" i="1" s="1"/>
  <c r="D36" i="1"/>
  <c r="AC36" i="1" s="1"/>
  <c r="D37" i="1"/>
  <c r="AC37" i="1" s="1"/>
  <c r="D38" i="1"/>
  <c r="AC38" i="1" s="1"/>
  <c r="D39" i="1"/>
  <c r="AC39" i="1" s="1"/>
  <c r="D40" i="1"/>
  <c r="AC40" i="1" s="1"/>
  <c r="D41" i="1"/>
  <c r="D42" i="1"/>
  <c r="AC42" i="1" s="1"/>
  <c r="D43" i="1"/>
  <c r="AC43" i="1" s="1"/>
  <c r="D44" i="1"/>
  <c r="AC44" i="1" s="1"/>
  <c r="D45" i="1"/>
  <c r="AC45" i="1" s="1"/>
  <c r="D46" i="1"/>
  <c r="D47" i="1"/>
  <c r="AC47" i="1" s="1"/>
  <c r="D48" i="1"/>
  <c r="D49" i="1"/>
  <c r="AC49" i="1" s="1"/>
  <c r="D50" i="1"/>
  <c r="AC50" i="1" s="1"/>
  <c r="D51" i="1"/>
  <c r="AC51" i="1" s="1"/>
  <c r="D52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D21" i="1"/>
  <c r="AC21" i="1" s="1"/>
  <c r="E19" i="1"/>
  <c r="D6" i="1"/>
  <c r="AC6" i="1" s="1"/>
  <c r="D7" i="1"/>
  <c r="D8" i="1"/>
  <c r="D9" i="1"/>
  <c r="AC9" i="1" s="1"/>
  <c r="D10" i="1"/>
  <c r="AC10" i="1" s="1"/>
  <c r="D11" i="1"/>
  <c r="AC11" i="1" s="1"/>
  <c r="D12" i="1"/>
  <c r="D13" i="1"/>
  <c r="AC13" i="1" s="1"/>
  <c r="D14" i="1"/>
  <c r="AC14" i="1" s="1"/>
  <c r="D15" i="1"/>
  <c r="D16" i="1"/>
  <c r="AC16" i="1" s="1"/>
  <c r="D17" i="1"/>
  <c r="AC17" i="1" s="1"/>
  <c r="D18" i="1"/>
  <c r="AC18" i="1" s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D5" i="1"/>
  <c r="L5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21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5" i="1"/>
  <c r="C21" i="1"/>
  <c r="C5" i="1"/>
  <c r="F4" i="1"/>
  <c r="G4" i="1"/>
  <c r="I21" i="5"/>
  <c r="I20" i="5"/>
  <c r="I7" i="5"/>
  <c r="I9" i="5"/>
  <c r="I10" i="5"/>
  <c r="I11" i="5"/>
  <c r="I12" i="5"/>
  <c r="I13" i="5"/>
  <c r="I14" i="5"/>
  <c r="I15" i="5"/>
  <c r="I16" i="5"/>
  <c r="I17" i="5"/>
  <c r="I6" i="5"/>
  <c r="M62" i="21"/>
  <c r="AC5" i="1" l="1"/>
  <c r="AC15" i="1"/>
  <c r="AC41" i="1"/>
  <c r="AC33" i="1"/>
  <c r="AC27" i="1"/>
  <c r="AC8" i="1"/>
  <c r="AC46" i="1"/>
  <c r="AC30" i="1"/>
  <c r="AC28" i="1"/>
  <c r="AC24" i="1"/>
  <c r="AC48" i="1"/>
  <c r="D19" i="1"/>
  <c r="M21" i="21"/>
  <c r="AF51" i="21"/>
  <c r="M51" i="21" s="1"/>
  <c r="AF50" i="21"/>
  <c r="M50" i="21" s="1"/>
  <c r="AF46" i="21"/>
  <c r="M46" i="21" s="1"/>
  <c r="AF21" i="21"/>
  <c r="AC53" i="1" l="1"/>
  <c r="M11" i="10"/>
  <c r="AF55" i="21" l="1"/>
  <c r="AF57" i="21" s="1"/>
  <c r="AF64" i="21" s="1"/>
  <c r="I59" i="7" l="1"/>
  <c r="I59" i="6"/>
  <c r="I59" i="3"/>
  <c r="I59" i="2"/>
  <c r="I52" i="2"/>
  <c r="I18" i="2"/>
  <c r="F45" i="2"/>
  <c r="F10" i="2"/>
  <c r="G37" i="20"/>
  <c r="G24" i="20"/>
  <c r="G27" i="20" s="1"/>
  <c r="F8" i="7"/>
  <c r="F27" i="3"/>
  <c r="U9" i="1" l="1"/>
  <c r="U28" i="1"/>
  <c r="U11" i="1"/>
  <c r="U46" i="1"/>
  <c r="I54" i="2"/>
  <c r="I61" i="2" s="1"/>
  <c r="I18" i="5"/>
  <c r="I52" i="7"/>
  <c r="I18" i="7"/>
  <c r="I52" i="6"/>
  <c r="I18" i="6"/>
  <c r="I52" i="3"/>
  <c r="I18" i="3"/>
  <c r="I52" i="11"/>
  <c r="I18" i="11"/>
  <c r="I18" i="4"/>
  <c r="I52" i="4"/>
  <c r="I11" i="10"/>
  <c r="I18" i="10" s="1"/>
  <c r="I52" i="10"/>
  <c r="L48" i="9"/>
  <c r="L47" i="9"/>
  <c r="L46" i="9"/>
  <c r="I52" i="9"/>
  <c r="I18" i="9"/>
  <c r="I54" i="6" l="1"/>
  <c r="I61" i="6" s="1"/>
  <c r="I54" i="7"/>
  <c r="I61" i="7" s="1"/>
  <c r="I54" i="3"/>
  <c r="I61" i="3" s="1"/>
  <c r="I54" i="4"/>
  <c r="I54" i="9"/>
  <c r="I61" i="9" s="1"/>
  <c r="I54" i="11"/>
  <c r="I54" i="10"/>
  <c r="I61" i="10" s="1"/>
  <c r="AC62" i="21"/>
  <c r="AC50" i="21"/>
  <c r="AC46" i="21"/>
  <c r="AC22" i="21"/>
  <c r="AC14" i="21"/>
  <c r="AC21" i="21" s="1"/>
  <c r="E18" i="7"/>
  <c r="E28" i="7"/>
  <c r="E59" i="7"/>
  <c r="E18" i="6"/>
  <c r="E52" i="6"/>
  <c r="E59" i="6"/>
  <c r="E18" i="3"/>
  <c r="E40" i="3"/>
  <c r="E51" i="3"/>
  <c r="E59" i="3"/>
  <c r="E34" i="2"/>
  <c r="E35" i="2"/>
  <c r="E37" i="2"/>
  <c r="E45" i="2"/>
  <c r="E18" i="11"/>
  <c r="E52" i="4"/>
  <c r="E59" i="4"/>
  <c r="E6" i="4"/>
  <c r="F18" i="4"/>
  <c r="F52" i="4"/>
  <c r="F59" i="4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20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4" i="5"/>
  <c r="I23" i="21"/>
  <c r="I7" i="21"/>
  <c r="D18" i="21"/>
  <c r="D21" i="21" s="1"/>
  <c r="D25" i="21"/>
  <c r="D33" i="21"/>
  <c r="D40" i="21"/>
  <c r="D50" i="21"/>
  <c r="D51" i="21"/>
  <c r="D52" i="21"/>
  <c r="D60" i="21"/>
  <c r="D62" i="21" s="1"/>
  <c r="E59" i="5"/>
  <c r="E18" i="10"/>
  <c r="E52" i="10"/>
  <c r="E59" i="10"/>
  <c r="E15" i="9"/>
  <c r="E52" i="9"/>
  <c r="E59" i="9"/>
  <c r="E52" i="7" l="1"/>
  <c r="E54" i="6"/>
  <c r="E61" i="6" s="1"/>
  <c r="E52" i="3"/>
  <c r="E18" i="4"/>
  <c r="E54" i="4" s="1"/>
  <c r="E61" i="4" s="1"/>
  <c r="E18" i="9"/>
  <c r="E54" i="9"/>
  <c r="AC55" i="21"/>
  <c r="E54" i="3"/>
  <c r="E61" i="3" s="1"/>
  <c r="E54" i="10"/>
  <c r="E61" i="10" s="1"/>
  <c r="AC57" i="21"/>
  <c r="AC64" i="21" s="1"/>
  <c r="D55" i="21"/>
  <c r="D57" i="21" s="1"/>
  <c r="D64" i="21" s="1"/>
  <c r="E52" i="5"/>
  <c r="E18" i="5"/>
  <c r="E54" i="7"/>
  <c r="E61" i="7" s="1"/>
  <c r="F54" i="4"/>
  <c r="F61" i="4" s="1"/>
  <c r="E61" i="9"/>
  <c r="G51" i="3"/>
  <c r="E54" i="5" l="1"/>
  <c r="E61" i="5" s="1"/>
  <c r="G12" i="2"/>
  <c r="N58" i="1" l="1"/>
  <c r="L6" i="1"/>
  <c r="H58" i="1"/>
  <c r="F58" i="1"/>
  <c r="V4" i="1"/>
  <c r="U4" i="1"/>
  <c r="M4" i="1"/>
  <c r="L4" i="1"/>
  <c r="J4" i="1"/>
  <c r="I4" i="1"/>
  <c r="C58" i="1"/>
  <c r="F13" i="5"/>
  <c r="E59" i="2"/>
  <c r="E52" i="2"/>
  <c r="E18" i="2"/>
  <c r="F58" i="5"/>
  <c r="F21" i="5"/>
  <c r="I22" i="1" s="1"/>
  <c r="F22" i="5"/>
  <c r="F23" i="5"/>
  <c r="F24" i="5"/>
  <c r="F25" i="5"/>
  <c r="F26" i="5"/>
  <c r="F27" i="5"/>
  <c r="F28" i="5"/>
  <c r="F29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G23" i="21"/>
  <c r="F5" i="5"/>
  <c r="F7" i="5"/>
  <c r="F8" i="5"/>
  <c r="F9" i="5"/>
  <c r="F10" i="5"/>
  <c r="F11" i="5"/>
  <c r="F12" i="5"/>
  <c r="F14" i="5"/>
  <c r="F16" i="5"/>
  <c r="F17" i="5"/>
  <c r="G7" i="21"/>
  <c r="F30" i="5"/>
  <c r="I13" i="1" l="1"/>
  <c r="AA13" i="1" s="1"/>
  <c r="I6" i="1"/>
  <c r="AA6" i="1" s="1"/>
  <c r="I50" i="1"/>
  <c r="AA50" i="1" s="1"/>
  <c r="I48" i="1"/>
  <c r="AA48" i="1" s="1"/>
  <c r="I46" i="1"/>
  <c r="AA46" i="1" s="1"/>
  <c r="I44" i="1"/>
  <c r="AA44" i="1" s="1"/>
  <c r="I42" i="1"/>
  <c r="AA42" i="1" s="1"/>
  <c r="I40" i="1"/>
  <c r="AA40" i="1" s="1"/>
  <c r="I38" i="1"/>
  <c r="I36" i="1"/>
  <c r="AA36" i="1" s="1"/>
  <c r="I34" i="1"/>
  <c r="AA34" i="1" s="1"/>
  <c r="I32" i="1"/>
  <c r="AA32" i="1" s="1"/>
  <c r="I29" i="1"/>
  <c r="AA29" i="1" s="1"/>
  <c r="I27" i="1"/>
  <c r="AA27" i="1" s="1"/>
  <c r="I25" i="1"/>
  <c r="AA25" i="1" s="1"/>
  <c r="I23" i="1"/>
  <c r="AA23" i="1" s="1"/>
  <c r="I14" i="1"/>
  <c r="AA14" i="1" s="1"/>
  <c r="I17" i="1"/>
  <c r="AA17" i="1" s="1"/>
  <c r="I11" i="1"/>
  <c r="AA11" i="1" s="1"/>
  <c r="I9" i="1"/>
  <c r="AA9" i="1" s="1"/>
  <c r="I52" i="1"/>
  <c r="AA52" i="1" s="1"/>
  <c r="I31" i="1"/>
  <c r="AA31" i="1" s="1"/>
  <c r="I18" i="1"/>
  <c r="AA18" i="1" s="1"/>
  <c r="I15" i="1"/>
  <c r="AA15" i="1" s="1"/>
  <c r="I12" i="1"/>
  <c r="AA12" i="1" s="1"/>
  <c r="I10" i="1"/>
  <c r="AA10" i="1" s="1"/>
  <c r="I8" i="1"/>
  <c r="AA8" i="1" s="1"/>
  <c r="I51" i="1"/>
  <c r="AA51" i="1" s="1"/>
  <c r="I49" i="1"/>
  <c r="AA49" i="1" s="1"/>
  <c r="I47" i="1"/>
  <c r="AA47" i="1" s="1"/>
  <c r="I45" i="1"/>
  <c r="AA45" i="1" s="1"/>
  <c r="I43" i="1"/>
  <c r="AA43" i="1" s="1"/>
  <c r="I41" i="1"/>
  <c r="AA41" i="1" s="1"/>
  <c r="I39" i="1"/>
  <c r="AA39" i="1" s="1"/>
  <c r="I37" i="1"/>
  <c r="AA37" i="1" s="1"/>
  <c r="I35" i="1"/>
  <c r="AA35" i="1" s="1"/>
  <c r="I33" i="1"/>
  <c r="AA33" i="1" s="1"/>
  <c r="I30" i="1"/>
  <c r="AA30" i="1" s="1"/>
  <c r="I28" i="1"/>
  <c r="AA28" i="1" s="1"/>
  <c r="I26" i="1"/>
  <c r="AA26" i="1" s="1"/>
  <c r="I24" i="1"/>
  <c r="AA24" i="1" s="1"/>
  <c r="F20" i="5"/>
  <c r="F4" i="5"/>
  <c r="E54" i="2"/>
  <c r="E61" i="2" s="1"/>
  <c r="AA38" i="1"/>
  <c r="AA22" i="1"/>
  <c r="I5" i="1" l="1"/>
  <c r="AA5" i="1" s="1"/>
  <c r="I21" i="1"/>
  <c r="AA21" i="1" s="1"/>
  <c r="AA53" i="1" s="1"/>
  <c r="I58" i="1"/>
  <c r="AA58" i="1" s="1"/>
  <c r="F15" i="5"/>
  <c r="I16" i="1" l="1"/>
  <c r="AA16" i="1" s="1"/>
  <c r="I9" i="21"/>
  <c r="O62" i="21"/>
  <c r="AD62" i="21"/>
  <c r="L62" i="21"/>
  <c r="F62" i="21"/>
  <c r="G62" i="21"/>
  <c r="H62" i="21"/>
  <c r="I62" i="21"/>
  <c r="J62" i="21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" i="5"/>
  <c r="G7" i="5"/>
  <c r="G8" i="5"/>
  <c r="G9" i="5"/>
  <c r="G10" i="5"/>
  <c r="G11" i="5"/>
  <c r="G12" i="5"/>
  <c r="G13" i="5"/>
  <c r="G14" i="5"/>
  <c r="G15" i="5"/>
  <c r="G16" i="5"/>
  <c r="G17" i="5"/>
  <c r="AD21" i="21"/>
  <c r="AD55" i="21"/>
  <c r="G6" i="5" l="1"/>
  <c r="H9" i="21"/>
  <c r="H23" i="21"/>
  <c r="F23" i="21"/>
  <c r="G20" i="5"/>
  <c r="F9" i="21"/>
  <c r="H7" i="21"/>
  <c r="F7" i="21"/>
  <c r="G4" i="5"/>
  <c r="G9" i="21"/>
  <c r="F6" i="5"/>
  <c r="I7" i="1" s="1"/>
  <c r="AA7" i="1" s="1"/>
  <c r="L55" i="21"/>
  <c r="AD57" i="21"/>
  <c r="AD64" i="21" s="1"/>
  <c r="J21" i="21"/>
  <c r="L21" i="21"/>
  <c r="J55" i="21"/>
  <c r="F59" i="7"/>
  <c r="F52" i="7"/>
  <c r="F18" i="7"/>
  <c r="D59" i="7"/>
  <c r="D52" i="7"/>
  <c r="D18" i="7"/>
  <c r="D54" i="7" s="1"/>
  <c r="D61" i="7" s="1"/>
  <c r="F59" i="6"/>
  <c r="F52" i="6"/>
  <c r="F18" i="6"/>
  <c r="D59" i="6"/>
  <c r="D52" i="6"/>
  <c r="D18" i="6"/>
  <c r="D54" i="6" s="1"/>
  <c r="D61" i="6" s="1"/>
  <c r="F59" i="3"/>
  <c r="F52" i="3"/>
  <c r="F18" i="3"/>
  <c r="D59" i="3"/>
  <c r="D52" i="3"/>
  <c r="D18" i="3"/>
  <c r="D54" i="3" s="1"/>
  <c r="D61" i="3" s="1"/>
  <c r="F59" i="2"/>
  <c r="F52" i="2"/>
  <c r="F18" i="2"/>
  <c r="D57" i="2"/>
  <c r="D59" i="2" s="1"/>
  <c r="D49" i="2"/>
  <c r="D52" i="2" s="1"/>
  <c r="D15" i="2"/>
  <c r="D18" i="2" s="1"/>
  <c r="F59" i="11"/>
  <c r="F52" i="11"/>
  <c r="F18" i="11"/>
  <c r="D59" i="11"/>
  <c r="D52" i="11"/>
  <c r="D18" i="11"/>
  <c r="D54" i="11" s="1"/>
  <c r="D61" i="11" s="1"/>
  <c r="D59" i="4"/>
  <c r="D52" i="4"/>
  <c r="D18" i="4"/>
  <c r="F59" i="5"/>
  <c r="D57" i="5"/>
  <c r="D59" i="5" s="1"/>
  <c r="D49" i="5"/>
  <c r="D48" i="5"/>
  <c r="D47" i="5"/>
  <c r="D37" i="5"/>
  <c r="D30" i="5"/>
  <c r="D22" i="5"/>
  <c r="D15" i="5"/>
  <c r="D18" i="5" s="1"/>
  <c r="F59" i="10"/>
  <c r="F52" i="10"/>
  <c r="F18" i="10"/>
  <c r="D54" i="5" l="1"/>
  <c r="D61" i="5" s="1"/>
  <c r="D52" i="5"/>
  <c r="D54" i="2"/>
  <c r="D61" i="2" s="1"/>
  <c r="D54" i="4"/>
  <c r="D61" i="4" s="1"/>
  <c r="F54" i="11"/>
  <c r="F61" i="11" s="1"/>
  <c r="F54" i="7"/>
  <c r="F61" i="7" s="1"/>
  <c r="F54" i="6"/>
  <c r="F61" i="6" s="1"/>
  <c r="F54" i="3"/>
  <c r="F61" i="3" s="1"/>
  <c r="F54" i="2"/>
  <c r="F61" i="2" s="1"/>
  <c r="L57" i="21"/>
  <c r="L64" i="21" s="1"/>
  <c r="F54" i="10"/>
  <c r="F61" i="10" s="1"/>
  <c r="J57" i="21"/>
  <c r="J64" i="21" s="1"/>
  <c r="F52" i="5"/>
  <c r="F18" i="5"/>
  <c r="K19" i="1" l="1"/>
  <c r="F54" i="5"/>
  <c r="F61" i="5" s="1"/>
  <c r="AB6" i="1"/>
  <c r="AB7" i="1"/>
  <c r="AB8" i="1"/>
  <c r="AB9" i="1"/>
  <c r="AB10" i="1"/>
  <c r="AB12" i="1"/>
  <c r="AB13" i="1"/>
  <c r="AB15" i="1"/>
  <c r="AB17" i="1"/>
  <c r="AB18" i="1"/>
  <c r="X5" i="1"/>
  <c r="Z5" i="1"/>
  <c r="G59" i="5" l="1"/>
  <c r="G52" i="5" l="1"/>
  <c r="G18" i="5"/>
  <c r="G54" i="5" l="1"/>
  <c r="G61" i="5" s="1"/>
  <c r="H50" i="21"/>
  <c r="H55" i="21" s="1"/>
  <c r="F55" i="21"/>
  <c r="G55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1" i="21"/>
  <c r="I52" i="21"/>
  <c r="I53" i="21"/>
  <c r="I54" i="21"/>
  <c r="F21" i="21"/>
  <c r="G21" i="21"/>
  <c r="I10" i="21"/>
  <c r="I11" i="21"/>
  <c r="I12" i="21"/>
  <c r="I13" i="21"/>
  <c r="I14" i="21"/>
  <c r="I15" i="21"/>
  <c r="I16" i="21"/>
  <c r="I17" i="21"/>
  <c r="I19" i="21"/>
  <c r="I20" i="21"/>
  <c r="I8" i="21"/>
  <c r="H18" i="21"/>
  <c r="H21" i="21" s="1"/>
  <c r="E62" i="21"/>
  <c r="E21" i="21"/>
  <c r="I50" i="21" l="1"/>
  <c r="F57" i="21"/>
  <c r="I18" i="21"/>
  <c r="I21" i="21" s="1"/>
  <c r="G57" i="21"/>
  <c r="G64" i="21" s="1"/>
  <c r="H57" i="21"/>
  <c r="H64" i="21" s="1"/>
  <c r="F64" i="21"/>
  <c r="I55" i="21"/>
  <c r="E55" i="21"/>
  <c r="E57" i="21" s="1"/>
  <c r="E64" i="21" s="1"/>
  <c r="G18" i="9"/>
  <c r="G59" i="9"/>
  <c r="G52" i="9"/>
  <c r="O47" i="1"/>
  <c r="P47" i="1"/>
  <c r="Q47" i="1"/>
  <c r="AD47" i="1" s="1"/>
  <c r="AB47" i="1"/>
  <c r="I57" i="21" l="1"/>
  <c r="I64" i="21" s="1"/>
  <c r="G54" i="9"/>
  <c r="G61" i="9" s="1"/>
  <c r="G59" i="10" l="1"/>
  <c r="G52" i="10"/>
  <c r="G18" i="10"/>
  <c r="G52" i="4"/>
  <c r="G18" i="4"/>
  <c r="G54" i="4" l="1"/>
  <c r="G61" i="4" s="1"/>
  <c r="G54" i="10"/>
  <c r="G61" i="10" s="1"/>
  <c r="AB11" i="1" l="1"/>
  <c r="E59" i="11" l="1"/>
  <c r="G59" i="11"/>
  <c r="G59" i="2"/>
  <c r="G59" i="3"/>
  <c r="G59" i="6"/>
  <c r="G59" i="7"/>
  <c r="F59" i="9"/>
  <c r="Y5" i="1" l="1"/>
  <c r="Z58" i="1" l="1"/>
  <c r="Z59" i="1"/>
  <c r="Z21" i="1"/>
  <c r="Z22" i="1"/>
  <c r="Z6" i="1"/>
  <c r="Z11" i="1"/>
  <c r="Z12" i="1"/>
  <c r="Z13" i="1"/>
  <c r="Z14" i="1"/>
  <c r="Z15" i="1"/>
  <c r="Z16" i="1"/>
  <c r="Z17" i="1"/>
  <c r="Z18" i="1"/>
  <c r="Y59" i="1"/>
  <c r="Y58" i="1"/>
  <c r="Y22" i="1"/>
  <c r="Y21" i="1"/>
  <c r="Y6" i="1"/>
  <c r="Y11" i="1"/>
  <c r="Y12" i="1"/>
  <c r="Y13" i="1"/>
  <c r="Y14" i="1"/>
  <c r="Y15" i="1"/>
  <c r="Y16" i="1"/>
  <c r="Y17" i="1"/>
  <c r="Y18" i="1"/>
  <c r="X59" i="1"/>
  <c r="X58" i="1"/>
  <c r="X22" i="1"/>
  <c r="X21" i="1"/>
  <c r="X6" i="1"/>
  <c r="X11" i="1"/>
  <c r="X12" i="1"/>
  <c r="X13" i="1"/>
  <c r="X14" i="1"/>
  <c r="X15" i="1"/>
  <c r="X16" i="1"/>
  <c r="X17" i="1"/>
  <c r="X18" i="1"/>
  <c r="W59" i="1"/>
  <c r="V59" i="1"/>
  <c r="U59" i="1"/>
  <c r="Q58" i="1"/>
  <c r="Q59" i="1"/>
  <c r="Q21" i="1"/>
  <c r="AD21" i="1" s="1"/>
  <c r="Q22" i="1"/>
  <c r="AD22" i="1" s="1"/>
  <c r="Q23" i="1"/>
  <c r="AD23" i="1" s="1"/>
  <c r="Q24" i="1"/>
  <c r="AD24" i="1" s="1"/>
  <c r="Q25" i="1"/>
  <c r="AD25" i="1" s="1"/>
  <c r="Q26" i="1"/>
  <c r="AD26" i="1" s="1"/>
  <c r="Q27" i="1"/>
  <c r="AD27" i="1" s="1"/>
  <c r="Q28" i="1"/>
  <c r="AD28" i="1" s="1"/>
  <c r="Q29" i="1"/>
  <c r="AD29" i="1" s="1"/>
  <c r="Q30" i="1"/>
  <c r="AD30" i="1" s="1"/>
  <c r="Q31" i="1"/>
  <c r="AD31" i="1" s="1"/>
  <c r="Q32" i="1"/>
  <c r="AD32" i="1" s="1"/>
  <c r="Q33" i="1"/>
  <c r="AD33" i="1" s="1"/>
  <c r="Q34" i="1"/>
  <c r="AD34" i="1" s="1"/>
  <c r="Q35" i="1"/>
  <c r="AD35" i="1" s="1"/>
  <c r="Q36" i="1"/>
  <c r="AD36" i="1" s="1"/>
  <c r="Q37" i="1"/>
  <c r="AD37" i="1" s="1"/>
  <c r="Q38" i="1"/>
  <c r="AD38" i="1" s="1"/>
  <c r="Q39" i="1"/>
  <c r="AD39" i="1" s="1"/>
  <c r="Q40" i="1"/>
  <c r="AD40" i="1" s="1"/>
  <c r="Q41" i="1"/>
  <c r="AD41" i="1" s="1"/>
  <c r="Q42" i="1"/>
  <c r="AD42" i="1" s="1"/>
  <c r="Q44" i="1"/>
  <c r="AD44" i="1" s="1"/>
  <c r="Q45" i="1"/>
  <c r="AD45" i="1" s="1"/>
  <c r="Q46" i="1"/>
  <c r="AD46" i="1" s="1"/>
  <c r="Q48" i="1"/>
  <c r="AD48" i="1" s="1"/>
  <c r="Q49" i="1"/>
  <c r="AD49" i="1" s="1"/>
  <c r="Q50" i="1"/>
  <c r="AD50" i="1" s="1"/>
  <c r="Q51" i="1"/>
  <c r="AD51" i="1" s="1"/>
  <c r="Q52" i="1"/>
  <c r="AD52" i="1" s="1"/>
  <c r="Q5" i="1"/>
  <c r="Q6" i="1"/>
  <c r="Q7" i="1"/>
  <c r="Q8" i="1"/>
  <c r="Q9" i="1"/>
  <c r="Q10" i="1"/>
  <c r="Q11" i="1"/>
  <c r="Q12" i="1"/>
  <c r="Q13" i="1"/>
  <c r="P59" i="1"/>
  <c r="P58" i="1"/>
  <c r="AC58" i="1" s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4" i="1"/>
  <c r="P45" i="1"/>
  <c r="P46" i="1"/>
  <c r="P48" i="1"/>
  <c r="P49" i="1"/>
  <c r="P50" i="1"/>
  <c r="P51" i="1"/>
  <c r="P52" i="1"/>
  <c r="P21" i="1"/>
  <c r="P6" i="1"/>
  <c r="P7" i="1"/>
  <c r="P8" i="1"/>
  <c r="P9" i="1"/>
  <c r="P10" i="1"/>
  <c r="P11" i="1"/>
  <c r="P12" i="1"/>
  <c r="P13" i="1"/>
  <c r="P5" i="1"/>
  <c r="O59" i="1"/>
  <c r="O58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4" i="1"/>
  <c r="O45" i="1"/>
  <c r="O46" i="1"/>
  <c r="O48" i="1"/>
  <c r="O49" i="1"/>
  <c r="O50" i="1"/>
  <c r="O51" i="1"/>
  <c r="O52" i="1"/>
  <c r="O21" i="1"/>
  <c r="O6" i="1"/>
  <c r="O7" i="1"/>
  <c r="O8" i="1"/>
  <c r="O9" i="1"/>
  <c r="O10" i="1"/>
  <c r="O11" i="1"/>
  <c r="O12" i="1"/>
  <c r="O13" i="1"/>
  <c r="O5" i="1"/>
  <c r="N59" i="1"/>
  <c r="M59" i="1"/>
  <c r="L59" i="1"/>
  <c r="L60" i="1" s="1"/>
  <c r="K59" i="1"/>
  <c r="J59" i="1"/>
  <c r="I59" i="1"/>
  <c r="H59" i="1"/>
  <c r="X60" i="1" l="1"/>
  <c r="Y60" i="1"/>
  <c r="U19" i="1"/>
  <c r="X19" i="1"/>
  <c r="Z60" i="1"/>
  <c r="Z53" i="1"/>
  <c r="W60" i="1"/>
  <c r="V60" i="1"/>
  <c r="W53" i="1"/>
  <c r="W19" i="1"/>
  <c r="Z19" i="1"/>
  <c r="Y19" i="1"/>
  <c r="V19" i="1"/>
  <c r="V53" i="1"/>
  <c r="X53" i="1"/>
  <c r="G59" i="1"/>
  <c r="F59" i="1"/>
  <c r="H19" i="1"/>
  <c r="J19" i="1"/>
  <c r="L19" i="1"/>
  <c r="M19" i="1"/>
  <c r="N19" i="1"/>
  <c r="O19" i="1"/>
  <c r="P19" i="1"/>
  <c r="Q19" i="1"/>
  <c r="E59" i="1"/>
  <c r="AD59" i="1" s="1"/>
  <c r="D59" i="1"/>
  <c r="H60" i="1"/>
  <c r="I60" i="1"/>
  <c r="J60" i="1"/>
  <c r="K60" i="1"/>
  <c r="M60" i="1"/>
  <c r="N60" i="1"/>
  <c r="O60" i="1"/>
  <c r="P60" i="1"/>
  <c r="Q60" i="1"/>
  <c r="H53" i="1"/>
  <c r="I53" i="1"/>
  <c r="J53" i="1"/>
  <c r="L53" i="1"/>
  <c r="M53" i="1"/>
  <c r="N53" i="1"/>
  <c r="O53" i="1"/>
  <c r="P53" i="1"/>
  <c r="Q53" i="1"/>
  <c r="C59" i="1"/>
  <c r="AC59" i="1" l="1"/>
  <c r="AC60" i="1" s="1"/>
  <c r="X55" i="1"/>
  <c r="X62" i="1" s="1"/>
  <c r="C60" i="1"/>
  <c r="F60" i="1"/>
  <c r="AA59" i="1"/>
  <c r="H55" i="1"/>
  <c r="H62" i="1" s="1"/>
  <c r="Y53" i="1"/>
  <c r="Y55" i="1" s="1"/>
  <c r="Y62" i="1" s="1"/>
  <c r="Z55" i="1"/>
  <c r="Z62" i="1" s="1"/>
  <c r="AD60" i="1"/>
  <c r="W55" i="1"/>
  <c r="W62" i="1" s="1"/>
  <c r="V55" i="1"/>
  <c r="V62" i="1" s="1"/>
  <c r="P55" i="1"/>
  <c r="P62" i="1" s="1"/>
  <c r="O55" i="1"/>
  <c r="O62" i="1" s="1"/>
  <c r="L55" i="1"/>
  <c r="L62" i="1" s="1"/>
  <c r="F19" i="1"/>
  <c r="Q55" i="1"/>
  <c r="Q62" i="1" s="1"/>
  <c r="N55" i="1"/>
  <c r="N62" i="1" s="1"/>
  <c r="M55" i="1"/>
  <c r="M62" i="1" s="1"/>
  <c r="C53" i="1"/>
  <c r="G19" i="1"/>
  <c r="E60" i="1"/>
  <c r="G60" i="1"/>
  <c r="J55" i="1"/>
  <c r="J62" i="1" s="1"/>
  <c r="G53" i="1"/>
  <c r="F53" i="1"/>
  <c r="E53" i="1"/>
  <c r="D60" i="1"/>
  <c r="D53" i="1"/>
  <c r="AB59" i="1"/>
  <c r="AB21" i="1"/>
  <c r="AB22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8" i="1"/>
  <c r="AB49" i="1"/>
  <c r="AB50" i="1"/>
  <c r="AB51" i="1"/>
  <c r="AB52" i="1"/>
  <c r="AB23" i="1"/>
  <c r="AB5" i="1"/>
  <c r="U60" i="1"/>
  <c r="AB53" i="1" l="1"/>
  <c r="AA60" i="1"/>
  <c r="AB58" i="1"/>
  <c r="AB60" i="1" s="1"/>
  <c r="E55" i="1"/>
  <c r="E62" i="1" s="1"/>
  <c r="F55" i="1"/>
  <c r="F62" i="1" s="1"/>
  <c r="G55" i="1"/>
  <c r="G62" i="1" s="1"/>
  <c r="D55" i="1"/>
  <c r="D62" i="1" s="1"/>
  <c r="AC19" i="1"/>
  <c r="AB16" i="1"/>
  <c r="AB14" i="1"/>
  <c r="AB19" i="1" l="1"/>
  <c r="AB55" i="1" s="1"/>
  <c r="AB62" i="1" s="1"/>
  <c r="AC55" i="1"/>
  <c r="AC62" i="1" s="1"/>
  <c r="G52" i="11"/>
  <c r="E52" i="11"/>
  <c r="G18" i="11"/>
  <c r="D59" i="10"/>
  <c r="D52" i="10"/>
  <c r="D18" i="10"/>
  <c r="D59" i="9"/>
  <c r="F52" i="9"/>
  <c r="D52" i="9"/>
  <c r="F18" i="9"/>
  <c r="D18" i="9"/>
  <c r="G52" i="7"/>
  <c r="G18" i="7"/>
  <c r="G52" i="6"/>
  <c r="G18" i="6"/>
  <c r="G52" i="3"/>
  <c r="G18" i="3"/>
  <c r="G52" i="2"/>
  <c r="G18" i="2"/>
  <c r="I19" i="1" l="1"/>
  <c r="I55" i="1" s="1"/>
  <c r="I62" i="1" s="1"/>
  <c r="AA19" i="1"/>
  <c r="AA55" i="1" s="1"/>
  <c r="F54" i="9"/>
  <c r="F61" i="9" s="1"/>
  <c r="G54" i="11"/>
  <c r="G61" i="11" s="1"/>
  <c r="G54" i="7"/>
  <c r="G61" i="7" s="1"/>
  <c r="E54" i="11"/>
  <c r="E61" i="11" s="1"/>
  <c r="G54" i="6"/>
  <c r="G61" i="6" s="1"/>
  <c r="C19" i="1"/>
  <c r="AD19" i="1"/>
  <c r="D54" i="10"/>
  <c r="D61" i="10" s="1"/>
  <c r="D54" i="9"/>
  <c r="D61" i="9" s="1"/>
  <c r="G54" i="3"/>
  <c r="G61" i="3" s="1"/>
  <c r="G54" i="2"/>
  <c r="G61" i="2" s="1"/>
  <c r="U53" i="1" l="1"/>
  <c r="U55" i="1" s="1"/>
  <c r="U62" i="1" s="1"/>
  <c r="AA62" i="1"/>
  <c r="C55" i="1"/>
  <c r="AD54" i="1"/>
  <c r="C62" i="1" l="1"/>
  <c r="I50" i="5"/>
  <c r="I46" i="5"/>
  <c r="I24" i="5"/>
  <c r="I26" i="5"/>
  <c r="I30" i="5"/>
  <c r="I34" i="5"/>
  <c r="I38" i="5"/>
  <c r="I42" i="5"/>
  <c r="I49" i="5"/>
  <c r="I23" i="5"/>
  <c r="I25" i="5"/>
  <c r="I27" i="5"/>
  <c r="I29" i="5"/>
  <c r="I31" i="5"/>
  <c r="I33" i="5"/>
  <c r="I35" i="5"/>
  <c r="I37" i="5"/>
  <c r="I39" i="5"/>
  <c r="I41" i="5"/>
  <c r="I43" i="5"/>
  <c r="I45" i="5"/>
  <c r="I48" i="5"/>
  <c r="I51" i="5"/>
  <c r="I28" i="5"/>
  <c r="I32" i="5"/>
  <c r="I36" i="5"/>
  <c r="I40" i="5"/>
  <c r="I44" i="5"/>
  <c r="I47" i="5"/>
  <c r="M55" i="21"/>
  <c r="M57" i="21" s="1"/>
  <c r="I22" i="5" l="1"/>
  <c r="I52" i="5" l="1"/>
  <c r="I54" i="5" s="1"/>
  <c r="I61" i="5" s="1"/>
  <c r="K53" i="1" l="1"/>
  <c r="K55" i="1" s="1"/>
  <c r="K62" i="1" s="1"/>
  <c r="AD53" i="1"/>
  <c r="AD55" i="1" l="1"/>
  <c r="AD62" i="1" s="1"/>
  <c r="AF53" i="1"/>
</calcChain>
</file>

<file path=xl/sharedStrings.xml><?xml version="1.0" encoding="utf-8"?>
<sst xmlns="http://schemas.openxmlformats.org/spreadsheetml/2006/main" count="938" uniqueCount="206">
  <si>
    <t>Konto</t>
  </si>
  <si>
    <t>Inntekter</t>
  </si>
  <si>
    <t>Kiosksalg</t>
  </si>
  <si>
    <t>Inntekt lotteri</t>
  </si>
  <si>
    <t>Offentlig tilskudd</t>
  </si>
  <si>
    <t>Leieinnt. sportshytte</t>
  </si>
  <si>
    <t>Kontingenter</t>
  </si>
  <si>
    <t>Aktivitetsavgift</t>
  </si>
  <si>
    <t>Tipping og div inntekter</t>
  </si>
  <si>
    <t>Innt. stevner/aktivitet</t>
  </si>
  <si>
    <t>Reklame/sponsorer</t>
  </si>
  <si>
    <t>Innbringende tiltak</t>
  </si>
  <si>
    <t>Gaver</t>
  </si>
  <si>
    <t>Moms kompensasjon</t>
  </si>
  <si>
    <t>Sum inntekter</t>
  </si>
  <si>
    <t>Utgifter</t>
  </si>
  <si>
    <t>Premier, merker</t>
  </si>
  <si>
    <t>Utgift lotteri</t>
  </si>
  <si>
    <t>Innkjøp kiosk</t>
  </si>
  <si>
    <t>Inntektsbringende tiltak utgift</t>
  </si>
  <si>
    <t>Lønn-utgiftsgodtgj</t>
  </si>
  <si>
    <t>Forsikring</t>
  </si>
  <si>
    <t>Driftsutg bygninger</t>
  </si>
  <si>
    <t>Driftsutg. baner/løyper</t>
  </si>
  <si>
    <t>Vedlikehold bygninger</t>
  </si>
  <si>
    <t>Vedlikeh. baner/løyper</t>
  </si>
  <si>
    <t>Aviser/tidsskrifter/bøker o.l</t>
  </si>
  <si>
    <t>Arrangement møter</t>
  </si>
  <si>
    <t>Regnskaps honorar</t>
  </si>
  <si>
    <t>Porto</t>
  </si>
  <si>
    <t>Reklame / annonser</t>
  </si>
  <si>
    <t>Kont./lisens idrettsorg.</t>
  </si>
  <si>
    <t>Utg. stevner/aktiviteter</t>
  </si>
  <si>
    <t>Treningsutgifter</t>
  </si>
  <si>
    <t>Diverse utgifter</t>
  </si>
  <si>
    <t>Avskriving på transportmidler</t>
  </si>
  <si>
    <t>Sum utgifter</t>
  </si>
  <si>
    <t>Resultat</t>
  </si>
  <si>
    <t>Driftsresultat</t>
  </si>
  <si>
    <t>Driftsutg snørydding</t>
  </si>
  <si>
    <t>Kjøp av utstyr</t>
  </si>
  <si>
    <t>Lys og varme</t>
  </si>
  <si>
    <t>Avfall/restavfall</t>
  </si>
  <si>
    <t>Kontorrekvisita</t>
  </si>
  <si>
    <t>Telefon</t>
  </si>
  <si>
    <t>Reisekostnader, ikke oppg plikt</t>
  </si>
  <si>
    <t>Bankj og kortgebyrer</t>
  </si>
  <si>
    <t>Vedlikeh av utstyr</t>
  </si>
  <si>
    <t xml:space="preserve">Drivstoff </t>
  </si>
  <si>
    <t>Finansposter</t>
  </si>
  <si>
    <t>Renteinntekt bank</t>
  </si>
  <si>
    <t>Regnskap 30.09.</t>
  </si>
  <si>
    <t>Renteutgifter</t>
  </si>
  <si>
    <t>Sum finans</t>
  </si>
  <si>
    <t>Avskrivninger</t>
  </si>
  <si>
    <t>Refundert strøm Prestmarka</t>
  </si>
  <si>
    <t xml:space="preserve"> Budsj 2014</t>
  </si>
  <si>
    <t xml:space="preserve">                       Turn </t>
  </si>
  <si>
    <t xml:space="preserve">    Ski</t>
  </si>
  <si>
    <t>Fotball</t>
  </si>
  <si>
    <t xml:space="preserve">                  Sykkel</t>
  </si>
  <si>
    <t>Sykkel</t>
  </si>
  <si>
    <t xml:space="preserve">                 Gang &amp; Tur</t>
  </si>
  <si>
    <t xml:space="preserve">                      Anlegg</t>
  </si>
  <si>
    <t xml:space="preserve">                     Totalt - Eina Sportsklubb</t>
  </si>
  <si>
    <t>Beskrivelse - type</t>
  </si>
  <si>
    <t>Modell</t>
  </si>
  <si>
    <t>Traktorgressklipper - Husqvarna P520 m/kost</t>
  </si>
  <si>
    <t>Forsikringssum</t>
  </si>
  <si>
    <t>Prinoth T2S - løypeleggemaskin</t>
  </si>
  <si>
    <t>M-Track - Løypeleggemaskin</t>
  </si>
  <si>
    <t>Snøscooter - Aktiv Grizzly XP HV2941, 45 hk</t>
  </si>
  <si>
    <t>Snøscooter - Polaris Wide Trak Lx HV5796, 45 hk</t>
  </si>
  <si>
    <t>Klippeutstyr</t>
  </si>
  <si>
    <t>Løypeutstyr</t>
  </si>
  <si>
    <t>Beskrivelse - tekst</t>
  </si>
  <si>
    <t>Tilstandsvurdering - kommentarer</t>
  </si>
  <si>
    <t>Note</t>
  </si>
  <si>
    <t>Driftsløsøre</t>
  </si>
  <si>
    <t>Nyinvesteringer/utskiftninger driftsløsøre</t>
  </si>
  <si>
    <t>Beløp</t>
  </si>
  <si>
    <t>Brutto investeringsramme</t>
  </si>
  <si>
    <t>Netto investeringsramme</t>
  </si>
  <si>
    <t>(driftsløsøre og anlegg)</t>
  </si>
  <si>
    <t>Forutsetninger:</t>
  </si>
  <si>
    <t>Nyinvesteringer/større vedlikehold på anleggene</t>
  </si>
  <si>
    <t>- innbytte/salg gammelt utstyr</t>
  </si>
  <si>
    <t>Forutsetninger i budsjettet:</t>
  </si>
  <si>
    <t>Bank og kortgebyrer</t>
  </si>
  <si>
    <t>Regnskap 2013</t>
  </si>
  <si>
    <t>Reisekostnader, ikke oppg pl.</t>
  </si>
  <si>
    <t>Annen inntekt</t>
  </si>
  <si>
    <t>Kurs, utdanning, utvikling</t>
  </si>
  <si>
    <t>G 13</t>
  </si>
  <si>
    <t>Andre</t>
  </si>
  <si>
    <t>Regnskap J 14</t>
  </si>
  <si>
    <t>Traktorgressklipper - John Deer LX280</t>
  </si>
  <si>
    <t>Bra stand, skiftet belter i 2012, ny turbo i 2013.</t>
  </si>
  <si>
    <t>Dårlige tilstand enn først antatt, reparert gearkasse 2014</t>
  </si>
  <si>
    <t>Tilstand ukjent.</t>
  </si>
  <si>
    <t>Annen inntekt (VTK-bevilget)</t>
  </si>
  <si>
    <t>Ny i 2012.</t>
  </si>
  <si>
    <t xml:space="preserve">       Hovedlaget/anlegg</t>
  </si>
  <si>
    <t>Kostnader</t>
  </si>
  <si>
    <t>Sum kostnader</t>
  </si>
  <si>
    <t>Aktivitetsresultat før finans</t>
  </si>
  <si>
    <t>Nyinvesteringer:</t>
  </si>
  <si>
    <t>Regnskapshonorar</t>
  </si>
  <si>
    <t>Budsjett 2015</t>
  </si>
  <si>
    <t>Annen inntekt (tilskudd ballbinge)</t>
  </si>
  <si>
    <t>Vedlikehold - og investeringsbudsjett 2015</t>
  </si>
  <si>
    <t xml:space="preserve">Henvis med nummer i kolonnen Note ovenfor, om beskriv forutsetningene her. </t>
  </si>
  <si>
    <t>Regnskap 2014</t>
  </si>
  <si>
    <t>Utg. stevner/aktiviteter/cuper</t>
  </si>
  <si>
    <t>Aktivitetstilskudd VTK/NIF</t>
  </si>
  <si>
    <t>Solgt januar 2015</t>
  </si>
  <si>
    <t>Rehabilitering dusjanlegg i Prestmarka</t>
  </si>
  <si>
    <t>- Støtte sparebankstiftelsen</t>
  </si>
  <si>
    <t>Turnutstyr , kjøpt januar 2015</t>
  </si>
  <si>
    <t>Kjøp av scooter og sporsetter, kjøpt januar 2015</t>
  </si>
  <si>
    <t>Solgt januar 2015, salgssum totalt kr 31.000,-</t>
  </si>
  <si>
    <t>Tilbygg lager/garasje - Prestmarka - må søke tilskudd</t>
  </si>
  <si>
    <t>Avskriving på anleggsmidler</t>
  </si>
  <si>
    <t>Gruppe/lag</t>
  </si>
  <si>
    <t>A-lag</t>
  </si>
  <si>
    <t>Sum Fotballgruppa</t>
  </si>
  <si>
    <t>Medlemskontigent</t>
  </si>
  <si>
    <t>Kommentarer</t>
  </si>
  <si>
    <t>Budsjett 2016</t>
  </si>
  <si>
    <t>46 stk</t>
  </si>
  <si>
    <t xml:space="preserve"> </t>
  </si>
  <si>
    <t>Yngres 2016</t>
  </si>
  <si>
    <t>G14 2016</t>
  </si>
  <si>
    <t>A-lag 2016</t>
  </si>
  <si>
    <t>A- lag B2015</t>
  </si>
  <si>
    <t>A-lag 31.12.</t>
  </si>
  <si>
    <t>Regnskap 2015</t>
  </si>
  <si>
    <t>Regnskap 2016.</t>
  </si>
  <si>
    <t>Regnskap 2016</t>
  </si>
  <si>
    <t>Eina SK - Regnskap 2016   -  Fotball</t>
  </si>
  <si>
    <t>Eina SK - Regnskap 2016    -  Ski</t>
  </si>
  <si>
    <t>Eina SK - Regnskap 2016   -  Turn</t>
  </si>
  <si>
    <t>Eina SK - Regnskap 2016   Sykkel</t>
  </si>
  <si>
    <t>Eina SK - Regnskap 2016   -  Gang &amp; Tur</t>
  </si>
  <si>
    <t>Eina SK - Regnskap 2016    Hovedlaget</t>
  </si>
  <si>
    <t>Eina SK - Regnskap 2016     Anlegg, bane, løype</t>
  </si>
  <si>
    <t>Eina SK - Regnskap 2016   -  Blilie</t>
  </si>
  <si>
    <t>Eina SK - Regnskap 2016   -  Prestmarka</t>
  </si>
  <si>
    <t>Yngres B2016</t>
  </si>
  <si>
    <t>G14 B2016</t>
  </si>
  <si>
    <t>Verona</t>
  </si>
  <si>
    <t>IØFK</t>
  </si>
  <si>
    <t>8100+2000</t>
  </si>
  <si>
    <t>A-lag B2016</t>
  </si>
  <si>
    <t>J16/damer B2016</t>
  </si>
  <si>
    <t>J16/damer 2016</t>
  </si>
  <si>
    <t>J13 B2016</t>
  </si>
  <si>
    <t>J13 2016</t>
  </si>
  <si>
    <t>Eina SK - Regnskap 2017   -  Fotball</t>
  </si>
  <si>
    <t>Regnskap Fotballgruppa 2013-2016</t>
  </si>
  <si>
    <t>Budsjett 2017</t>
  </si>
  <si>
    <t>Yngres  B2017</t>
  </si>
  <si>
    <t>Yngres 2017</t>
  </si>
  <si>
    <t>J14 B2017</t>
  </si>
  <si>
    <t>J14 2017</t>
  </si>
  <si>
    <t>Damer B2017</t>
  </si>
  <si>
    <t>A-Lag B2017</t>
  </si>
  <si>
    <t>Budjsett 2017</t>
  </si>
  <si>
    <t>Eina SK - Regnskap 2017   TDK</t>
  </si>
  <si>
    <t>Regnskap 2017</t>
  </si>
  <si>
    <t xml:space="preserve">Traktorgressklipper - </t>
  </si>
  <si>
    <t xml:space="preserve">           TDK</t>
  </si>
  <si>
    <t>Budsj 2017</t>
  </si>
  <si>
    <t xml:space="preserve"> Bud 2017</t>
  </si>
  <si>
    <t>Bud 2017</t>
  </si>
  <si>
    <t xml:space="preserve"> Budsj 2017</t>
  </si>
  <si>
    <t>Eina Sportsklubb - Regnskap budsjett 2017</t>
  </si>
  <si>
    <t>Damer</t>
  </si>
  <si>
    <t>G14</t>
  </si>
  <si>
    <t>J13</t>
  </si>
  <si>
    <t>Offentlig tilskudd 30 000</t>
  </si>
  <si>
    <t>Aktivitetsavgift      30 000</t>
  </si>
  <si>
    <t>Kiosk/lodd             7000</t>
  </si>
  <si>
    <t>Inngangspenger    1200</t>
  </si>
  <si>
    <t>Spons Cirkel k     10 000</t>
  </si>
  <si>
    <t>Salg av kaffe kopper 10 100</t>
  </si>
  <si>
    <t>Lions           10 000</t>
  </si>
  <si>
    <t>Spons trenere (lønn)  10 000</t>
  </si>
  <si>
    <t>Stevne/konkurranse  28 200</t>
  </si>
  <si>
    <t>Spons kronerullering   2000</t>
  </si>
  <si>
    <t>Innbringende tiltak ?? ( hva skal regnes der ? )</t>
  </si>
  <si>
    <t>Sum inn : 138500,-</t>
  </si>
  <si>
    <t>UT:</t>
  </si>
  <si>
    <t>Kurs                                 4000</t>
  </si>
  <si>
    <t>Stevne/konkurranse       31 000</t>
  </si>
  <si>
    <t>Kjøp av utstyr                  65 000</t>
  </si>
  <si>
    <t>Lønn trenere                    25 000</t>
  </si>
  <si>
    <t>Div utgifter                          1000</t>
  </si>
  <si>
    <t>Premier                                 600</t>
  </si>
  <si>
    <t>Gaver trenere                   1800</t>
  </si>
  <si>
    <t>Sum ut :    128400,-</t>
  </si>
  <si>
    <t>Dif + 10 100,-</t>
  </si>
  <si>
    <t xml:space="preserve">Selge gammel scooter </t>
  </si>
  <si>
    <t xml:space="preserve">Kjøpe brukt scooter </t>
  </si>
  <si>
    <t>Nett på Blilie</t>
  </si>
  <si>
    <t>Treningbenker inne Prestmarka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</si>
</sst>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i/>
      <sz val="11"/>
      <name val="Arial"/>
      <family val="2"/>
    </font>
    <font>
      <b/>
      <i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3" fontId="0" fillId="0" borderId="0" xfId="0" applyNumberFormat="1"/>
    <xf numFmtId="0" fontId="2" fillId="0" borderId="0" xfId="0" applyFont="1" applyFill="1" applyBorder="1"/>
    <xf numFmtId="0" fontId="3" fillId="0" borderId="0" xfId="0" applyFont="1" applyFill="1" applyBorder="1"/>
    <xf numFmtId="0" fontId="0" fillId="0" borderId="0" xfId="0" applyFill="1"/>
    <xf numFmtId="3" fontId="4" fillId="2" borderId="1" xfId="0" applyNumberFormat="1" applyFont="1" applyFill="1" applyBorder="1" applyAlignment="1">
      <alignment horizontal="right"/>
    </xf>
    <xf numFmtId="0" fontId="4" fillId="0" borderId="1" xfId="0" applyFont="1" applyBorder="1"/>
    <xf numFmtId="3" fontId="4" fillId="0" borderId="1" xfId="0" applyNumberFormat="1" applyFont="1" applyBorder="1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  <xf numFmtId="3" fontId="0" fillId="0" borderId="1" xfId="0" applyNumberFormat="1" applyBorder="1"/>
    <xf numFmtId="0" fontId="0" fillId="4" borderId="0" xfId="0" applyFill="1" applyBorder="1"/>
    <xf numFmtId="3" fontId="0" fillId="4" borderId="0" xfId="0" applyNumberFormat="1" applyFill="1" applyBorder="1"/>
    <xf numFmtId="0" fontId="6" fillId="4" borderId="0" xfId="0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4" fillId="4" borderId="0" xfId="0" applyNumberFormat="1" applyFont="1" applyFill="1" applyBorder="1" applyAlignment="1">
      <alignment horizontal="right"/>
    </xf>
    <xf numFmtId="3" fontId="4" fillId="4" borderId="0" xfId="0" applyNumberFormat="1" applyFont="1" applyFill="1" applyBorder="1"/>
    <xf numFmtId="3" fontId="0" fillId="4" borderId="0" xfId="0" applyNumberFormat="1" applyFill="1" applyBorder="1" applyAlignment="1">
      <alignment horizontal="right"/>
    </xf>
    <xf numFmtId="3" fontId="6" fillId="0" borderId="1" xfId="0" applyNumberFormat="1" applyFont="1" applyBorder="1"/>
    <xf numFmtId="0" fontId="7" fillId="0" borderId="1" xfId="0" applyFont="1" applyBorder="1"/>
    <xf numFmtId="0" fontId="8" fillId="0" borderId="1" xfId="0" applyFont="1" applyBorder="1"/>
    <xf numFmtId="3" fontId="7" fillId="0" borderId="1" xfId="0" applyNumberFormat="1" applyFont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3" fontId="9" fillId="0" borderId="1" xfId="0" applyNumberFormat="1" applyFont="1" applyBorder="1"/>
    <xf numFmtId="3" fontId="3" fillId="0" borderId="1" xfId="0" applyNumberFormat="1" applyFont="1" applyBorder="1"/>
    <xf numFmtId="0" fontId="9" fillId="3" borderId="1" xfId="0" applyFont="1" applyFill="1" applyBorder="1"/>
    <xf numFmtId="3" fontId="9" fillId="3" borderId="1" xfId="0" applyNumberFormat="1" applyFont="1" applyFill="1" applyBorder="1"/>
    <xf numFmtId="3" fontId="3" fillId="3" borderId="1" xfId="0" applyNumberFormat="1" applyFont="1" applyFill="1" applyBorder="1"/>
    <xf numFmtId="0" fontId="3" fillId="0" borderId="1" xfId="0" applyFont="1" applyBorder="1"/>
    <xf numFmtId="0" fontId="10" fillId="3" borderId="1" xfId="0" applyFont="1" applyFill="1" applyBorder="1"/>
    <xf numFmtId="3" fontId="10" fillId="3" borderId="1" xfId="0" applyNumberFormat="1" applyFont="1" applyFill="1" applyBorder="1"/>
    <xf numFmtId="0" fontId="8" fillId="3" borderId="1" xfId="0" applyFont="1" applyFill="1" applyBorder="1"/>
    <xf numFmtId="3" fontId="8" fillId="3" borderId="1" xfId="0" applyNumberFormat="1" applyFont="1" applyFill="1" applyBorder="1"/>
    <xf numFmtId="3" fontId="4" fillId="5" borderId="1" xfId="0" applyNumberFormat="1" applyFont="1" applyFill="1" applyBorder="1"/>
    <xf numFmtId="0" fontId="1" fillId="4" borderId="0" xfId="0" applyFont="1" applyFill="1" applyBorder="1"/>
    <xf numFmtId="0" fontId="2" fillId="4" borderId="0" xfId="0" applyFont="1" applyFill="1" applyBorder="1"/>
    <xf numFmtId="0" fontId="3" fillId="4" borderId="0" xfId="0" applyFont="1" applyFill="1" applyBorder="1"/>
    <xf numFmtId="0" fontId="4" fillId="0" borderId="2" xfId="0" applyFont="1" applyBorder="1"/>
    <xf numFmtId="3" fontId="4" fillId="0" borderId="2" xfId="0" applyNumberFormat="1" applyFont="1" applyBorder="1"/>
    <xf numFmtId="3" fontId="4" fillId="2" borderId="2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7" fillId="0" borderId="11" xfId="0" applyFont="1" applyBorder="1"/>
    <xf numFmtId="3" fontId="7" fillId="0" borderId="12" xfId="0" applyNumberFormat="1" applyFont="1" applyBorder="1"/>
    <xf numFmtId="3" fontId="10" fillId="4" borderId="13" xfId="0" applyNumberFormat="1" applyFont="1" applyFill="1" applyBorder="1"/>
    <xf numFmtId="0" fontId="0" fillId="3" borderId="14" xfId="0" applyFill="1" applyBorder="1"/>
    <xf numFmtId="0" fontId="1" fillId="3" borderId="8" xfId="0" applyFont="1" applyFill="1" applyBorder="1"/>
    <xf numFmtId="0" fontId="11" fillId="3" borderId="6" xfId="0" applyFont="1" applyFill="1" applyBorder="1"/>
    <xf numFmtId="0" fontId="11" fillId="3" borderId="7" xfId="0" applyFont="1" applyFill="1" applyBorder="1"/>
    <xf numFmtId="0" fontId="0" fillId="3" borderId="7" xfId="0" applyFont="1" applyFill="1" applyBorder="1"/>
    <xf numFmtId="0" fontId="0" fillId="3" borderId="8" xfId="0" applyFont="1" applyFill="1" applyBorder="1"/>
    <xf numFmtId="3" fontId="0" fillId="3" borderId="16" xfId="0" applyNumberFormat="1" applyFont="1" applyFill="1" applyBorder="1"/>
    <xf numFmtId="0" fontId="0" fillId="5" borderId="1" xfId="0" applyFill="1" applyBorder="1"/>
    <xf numFmtId="3" fontId="4" fillId="5" borderId="1" xfId="0" applyNumberFormat="1" applyFont="1" applyFill="1" applyBorder="1" applyAlignment="1">
      <alignment horizontal="right"/>
    </xf>
    <xf numFmtId="0" fontId="6" fillId="4" borderId="1" xfId="0" applyFont="1" applyFill="1" applyBorder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0" fontId="13" fillId="0" borderId="19" xfId="0" applyFont="1" applyBorder="1"/>
    <xf numFmtId="0" fontId="0" fillId="0" borderId="21" xfId="0" applyBorder="1"/>
    <xf numFmtId="0" fontId="0" fillId="0" borderId="2" xfId="0" applyBorder="1"/>
    <xf numFmtId="0" fontId="0" fillId="0" borderId="23" xfId="0" applyBorder="1"/>
    <xf numFmtId="0" fontId="0" fillId="0" borderId="23" xfId="0" quotePrefix="1" applyBorder="1"/>
    <xf numFmtId="3" fontId="0" fillId="0" borderId="21" xfId="0" applyNumberFormat="1" applyBorder="1"/>
    <xf numFmtId="3" fontId="0" fillId="0" borderId="2" xfId="0" applyNumberFormat="1" applyBorder="1"/>
    <xf numFmtId="0" fontId="0" fillId="0" borderId="25" xfId="0" quotePrefix="1" applyBorder="1"/>
    <xf numFmtId="0" fontId="0" fillId="0" borderId="26" xfId="0" applyBorder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29" xfId="0" applyFont="1" applyBorder="1" applyAlignment="1">
      <alignment horizontal="right"/>
    </xf>
    <xf numFmtId="0" fontId="14" fillId="0" borderId="23" xfId="0" applyFont="1" applyBorder="1"/>
    <xf numFmtId="0" fontId="14" fillId="0" borderId="18" xfId="0" applyFont="1" applyBorder="1"/>
    <xf numFmtId="0" fontId="14" fillId="0" borderId="24" xfId="0" applyFont="1" applyBorder="1" applyAlignment="1">
      <alignment horizontal="right"/>
    </xf>
    <xf numFmtId="3" fontId="0" fillId="0" borderId="0" xfId="0" applyNumberFormat="1" applyBorder="1"/>
    <xf numFmtId="0" fontId="14" fillId="0" borderId="0" xfId="0" applyFont="1" applyBorder="1"/>
    <xf numFmtId="0" fontId="13" fillId="0" borderId="20" xfId="0" applyFont="1" applyBorder="1" applyAlignment="1">
      <alignment horizontal="left"/>
    </xf>
    <xf numFmtId="0" fontId="13" fillId="0" borderId="30" xfId="0" applyFont="1" applyBorder="1" applyAlignment="1">
      <alignment horizontal="left"/>
    </xf>
    <xf numFmtId="0" fontId="14" fillId="0" borderId="28" xfId="0" applyFont="1" applyBorder="1"/>
    <xf numFmtId="0" fontId="13" fillId="0" borderId="31" xfId="0" applyFont="1" applyBorder="1"/>
    <xf numFmtId="0" fontId="13" fillId="0" borderId="22" xfId="0" applyFont="1" applyBorder="1" applyAlignment="1">
      <alignment horizontal="right"/>
    </xf>
    <xf numFmtId="0" fontId="13" fillId="0" borderId="32" xfId="0" applyFont="1" applyBorder="1" applyAlignment="1">
      <alignment horizontal="right"/>
    </xf>
    <xf numFmtId="3" fontId="0" fillId="0" borderId="31" xfId="0" applyNumberFormat="1" applyBorder="1"/>
    <xf numFmtId="3" fontId="0" fillId="0" borderId="25" xfId="0" applyNumberFormat="1" applyBorder="1"/>
    <xf numFmtId="3" fontId="0" fillId="0" borderId="33" xfId="0" applyNumberFormat="1" applyBorder="1"/>
    <xf numFmtId="0" fontId="14" fillId="0" borderId="27" xfId="0" applyFont="1" applyBorder="1"/>
    <xf numFmtId="0" fontId="0" fillId="0" borderId="34" xfId="0" applyBorder="1"/>
    <xf numFmtId="0" fontId="0" fillId="0" borderId="35" xfId="0" applyBorder="1"/>
    <xf numFmtId="0" fontId="0" fillId="0" borderId="0" xfId="0" applyBorder="1"/>
    <xf numFmtId="0" fontId="13" fillId="0" borderId="25" xfId="0" applyFont="1" applyBorder="1"/>
    <xf numFmtId="0" fontId="13" fillId="0" borderId="26" xfId="0" applyFont="1" applyBorder="1"/>
    <xf numFmtId="0" fontId="0" fillId="0" borderId="37" xfId="0" applyBorder="1"/>
    <xf numFmtId="0" fontId="13" fillId="0" borderId="2" xfId="0" applyFont="1" applyBorder="1"/>
    <xf numFmtId="0" fontId="0" fillId="0" borderId="25" xfId="0" applyBorder="1"/>
    <xf numFmtId="0" fontId="0" fillId="0" borderId="11" xfId="0" quotePrefix="1" applyBorder="1"/>
    <xf numFmtId="0" fontId="0" fillId="0" borderId="13" xfId="0" applyBorder="1"/>
    <xf numFmtId="0" fontId="13" fillId="0" borderId="11" xfId="0" applyFont="1" applyBorder="1"/>
    <xf numFmtId="0" fontId="13" fillId="0" borderId="13" xfId="0" applyFont="1" applyBorder="1"/>
    <xf numFmtId="0" fontId="13" fillId="0" borderId="1" xfId="0" applyFont="1" applyBorder="1"/>
    <xf numFmtId="3" fontId="13" fillId="0" borderId="2" xfId="0" applyNumberFormat="1" applyFont="1" applyBorder="1"/>
    <xf numFmtId="3" fontId="13" fillId="0" borderId="1" xfId="0" applyNumberFormat="1" applyFont="1" applyBorder="1"/>
    <xf numFmtId="0" fontId="14" fillId="0" borderId="29" xfId="0" applyFont="1" applyBorder="1"/>
    <xf numFmtId="0" fontId="14" fillId="0" borderId="36" xfId="0" applyFont="1" applyBorder="1" applyAlignment="1">
      <alignment horizontal="right"/>
    </xf>
    <xf numFmtId="0" fontId="0" fillId="0" borderId="2" xfId="0" applyFont="1" applyBorder="1"/>
    <xf numFmtId="3" fontId="0" fillId="0" borderId="2" xfId="0" applyNumberFormat="1" applyFont="1" applyBorder="1"/>
    <xf numFmtId="0" fontId="0" fillId="0" borderId="1" xfId="0" applyFont="1" applyBorder="1"/>
    <xf numFmtId="3" fontId="0" fillId="0" borderId="1" xfId="0" applyNumberFormat="1" applyFont="1" applyBorder="1"/>
    <xf numFmtId="0" fontId="13" fillId="0" borderId="30" xfId="0" applyFont="1" applyBorder="1" applyAlignment="1">
      <alignment horizontal="right"/>
    </xf>
    <xf numFmtId="0" fontId="16" fillId="0" borderId="0" xfId="0" applyFont="1"/>
    <xf numFmtId="0" fontId="14" fillId="0" borderId="30" xfId="0" applyFont="1" applyBorder="1" applyAlignment="1">
      <alignment horizontal="right"/>
    </xf>
    <xf numFmtId="0" fontId="17" fillId="0" borderId="0" xfId="0" applyFont="1"/>
    <xf numFmtId="3" fontId="4" fillId="4" borderId="1" xfId="0" applyNumberFormat="1" applyFont="1" applyFill="1" applyBorder="1"/>
    <xf numFmtId="3" fontId="4" fillId="0" borderId="2" xfId="0" applyNumberFormat="1" applyFont="1" applyBorder="1"/>
    <xf numFmtId="3" fontId="4" fillId="0" borderId="1" xfId="0" applyNumberFormat="1" applyFont="1" applyBorder="1"/>
    <xf numFmtId="3" fontId="6" fillId="0" borderId="11" xfId="0" applyNumberFormat="1" applyFont="1" applyBorder="1"/>
    <xf numFmtId="3" fontId="10" fillId="4" borderId="0" xfId="0" applyNumberFormat="1" applyFont="1" applyFill="1" applyBorder="1"/>
    <xf numFmtId="3" fontId="4" fillId="0" borderId="2" xfId="0" applyNumberFormat="1" applyFont="1" applyBorder="1"/>
    <xf numFmtId="0" fontId="0" fillId="0" borderId="1" xfId="0" applyBorder="1"/>
    <xf numFmtId="3" fontId="4" fillId="0" borderId="1" xfId="0" applyNumberFormat="1" applyFont="1" applyBorder="1"/>
    <xf numFmtId="3" fontId="0" fillId="0" borderId="1" xfId="0" applyNumberFormat="1" applyBorder="1"/>
    <xf numFmtId="3" fontId="10" fillId="3" borderId="1" xfId="0" applyNumberFormat="1" applyFont="1" applyFill="1" applyBorder="1"/>
    <xf numFmtId="3" fontId="6" fillId="4" borderId="0" xfId="0" applyNumberFormat="1" applyFont="1" applyFill="1" applyBorder="1"/>
    <xf numFmtId="3" fontId="6" fillId="0" borderId="1" xfId="0" applyNumberFormat="1" applyFont="1" applyBorder="1"/>
    <xf numFmtId="0" fontId="7" fillId="0" borderId="1" xfId="0" applyFont="1" applyBorder="1"/>
    <xf numFmtId="3" fontId="7" fillId="0" borderId="1" xfId="0" applyNumberFormat="1" applyFont="1" applyBorder="1"/>
    <xf numFmtId="3" fontId="9" fillId="0" borderId="1" xfId="0" applyNumberFormat="1" applyFont="1" applyBorder="1"/>
    <xf numFmtId="3" fontId="3" fillId="0" borderId="1" xfId="0" applyNumberFormat="1" applyFont="1" applyBorder="1"/>
    <xf numFmtId="0" fontId="0" fillId="0" borderId="0" xfId="0"/>
    <xf numFmtId="0" fontId="18" fillId="0" borderId="0" xfId="0" applyFont="1"/>
    <xf numFmtId="0" fontId="18" fillId="0" borderId="0" xfId="0" applyFont="1" applyAlignment="1"/>
    <xf numFmtId="3" fontId="6" fillId="0" borderId="1" xfId="0" applyNumberFormat="1" applyFont="1" applyBorder="1"/>
    <xf numFmtId="0" fontId="7" fillId="0" borderId="1" xfId="0" applyFont="1" applyBorder="1"/>
    <xf numFmtId="3" fontId="7" fillId="0" borderId="1" xfId="0" applyNumberFormat="1" applyFont="1" applyBorder="1"/>
    <xf numFmtId="3" fontId="9" fillId="0" borderId="1" xfId="0" applyNumberFormat="1" applyFont="1" applyBorder="1"/>
    <xf numFmtId="3" fontId="3" fillId="0" borderId="1" xfId="0" applyNumberFormat="1" applyFont="1" applyBorder="1"/>
    <xf numFmtId="3" fontId="9" fillId="3" borderId="1" xfId="0" applyNumberFormat="1" applyFont="1" applyFill="1" applyBorder="1"/>
    <xf numFmtId="3" fontId="3" fillId="3" borderId="1" xfId="0" applyNumberFormat="1" applyFont="1" applyFill="1" applyBorder="1"/>
    <xf numFmtId="3" fontId="10" fillId="3" borderId="1" xfId="0" applyNumberFormat="1" applyFont="1" applyFill="1" applyBorder="1"/>
    <xf numFmtId="3" fontId="8" fillId="3" borderId="1" xfId="0" applyNumberFormat="1" applyFont="1" applyFill="1" applyBorder="1"/>
    <xf numFmtId="0" fontId="0" fillId="0" borderId="0" xfId="0"/>
    <xf numFmtId="4" fontId="0" fillId="0" borderId="0" xfId="0" applyNumberFormat="1"/>
    <xf numFmtId="0" fontId="19" fillId="4" borderId="0" xfId="0" applyFont="1" applyFill="1" applyBorder="1"/>
    <xf numFmtId="0" fontId="3" fillId="4" borderId="0" xfId="0" applyFont="1" applyFill="1" applyBorder="1" applyAlignment="1">
      <alignment horizontal="right"/>
    </xf>
    <xf numFmtId="4" fontId="19" fillId="4" borderId="0" xfId="0" applyNumberFormat="1" applyFont="1" applyFill="1" applyBorder="1"/>
    <xf numFmtId="4" fontId="9" fillId="4" borderId="0" xfId="0" applyNumberFormat="1" applyFont="1" applyFill="1" applyBorder="1"/>
    <xf numFmtId="3" fontId="5" fillId="5" borderId="1" xfId="0" applyNumberFormat="1" applyFont="1" applyFill="1" applyBorder="1"/>
    <xf numFmtId="3" fontId="0" fillId="0" borderId="37" xfId="0" applyNumberFormat="1" applyBorder="1"/>
    <xf numFmtId="0" fontId="11" fillId="3" borderId="6" xfId="0" applyFont="1" applyFill="1" applyBorder="1" applyAlignment="1">
      <alignment horizontal="left"/>
    </xf>
    <xf numFmtId="0" fontId="5" fillId="5" borderId="1" xfId="0" applyFont="1" applyFill="1" applyBorder="1"/>
    <xf numFmtId="3" fontId="5" fillId="5" borderId="1" xfId="0" applyNumberFormat="1" applyFont="1" applyFill="1" applyBorder="1" applyAlignment="1">
      <alignment horizontal="right"/>
    </xf>
    <xf numFmtId="0" fontId="5" fillId="3" borderId="10" xfId="0" applyFont="1" applyFill="1" applyBorder="1"/>
    <xf numFmtId="0" fontId="10" fillId="5" borderId="1" xfId="0" applyFont="1" applyFill="1" applyBorder="1"/>
    <xf numFmtId="3" fontId="10" fillId="5" borderId="1" xfId="0" applyNumberFormat="1" applyFont="1" applyFill="1" applyBorder="1"/>
    <xf numFmtId="0" fontId="8" fillId="5" borderId="1" xfId="0" applyFont="1" applyFill="1" applyBorder="1"/>
    <xf numFmtId="3" fontId="10" fillId="5" borderId="2" xfId="0" applyNumberFormat="1" applyFont="1" applyFill="1" applyBorder="1"/>
    <xf numFmtId="3" fontId="7" fillId="5" borderId="1" xfId="0" applyNumberFormat="1" applyFont="1" applyFill="1" applyBorder="1"/>
    <xf numFmtId="3" fontId="8" fillId="5" borderId="2" xfId="0" applyNumberFormat="1" applyFont="1" applyFill="1" applyBorder="1"/>
    <xf numFmtId="3" fontId="6" fillId="5" borderId="1" xfId="0" applyNumberFormat="1" applyFont="1" applyFill="1" applyBorder="1"/>
    <xf numFmtId="3" fontId="8" fillId="5" borderId="1" xfId="0" applyNumberFormat="1" applyFont="1" applyFill="1" applyBorder="1"/>
    <xf numFmtId="3" fontId="4" fillId="4" borderId="2" xfId="0" applyNumberFormat="1" applyFont="1" applyFill="1" applyBorder="1" applyAlignment="1">
      <alignment horizontal="right"/>
    </xf>
    <xf numFmtId="3" fontId="4" fillId="4" borderId="1" xfId="0" applyNumberFormat="1" applyFont="1" applyFill="1" applyBorder="1" applyAlignment="1">
      <alignment horizontal="right"/>
    </xf>
    <xf numFmtId="0" fontId="0" fillId="4" borderId="1" xfId="0" applyFill="1" applyBorder="1"/>
    <xf numFmtId="0" fontId="11" fillId="3" borderId="8" xfId="0" applyFont="1" applyFill="1" applyBorder="1"/>
    <xf numFmtId="0" fontId="20" fillId="3" borderId="8" xfId="0" applyFont="1" applyFill="1" applyBorder="1"/>
    <xf numFmtId="0" fontId="3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3" borderId="11" xfId="0" applyFont="1" applyFill="1" applyBorder="1" applyAlignment="1">
      <alignment horizontal="right"/>
    </xf>
    <xf numFmtId="3" fontId="0" fillId="0" borderId="11" xfId="0" applyNumberFormat="1" applyBorder="1"/>
    <xf numFmtId="3" fontId="3" fillId="3" borderId="11" xfId="0" applyNumberFormat="1" applyFont="1" applyFill="1" applyBorder="1"/>
    <xf numFmtId="3" fontId="7" fillId="0" borderId="11" xfId="0" applyNumberFormat="1" applyFont="1" applyBorder="1"/>
    <xf numFmtId="3" fontId="10" fillId="4" borderId="1" xfId="0" applyNumberFormat="1" applyFont="1" applyFill="1" applyBorder="1"/>
    <xf numFmtId="0" fontId="3" fillId="0" borderId="19" xfId="0" applyFont="1" applyBorder="1"/>
    <xf numFmtId="0" fontId="3" fillId="0" borderId="38" xfId="0" applyFont="1" applyBorder="1"/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center"/>
    </xf>
    <xf numFmtId="0" fontId="0" fillId="0" borderId="0" xfId="0" applyFont="1"/>
    <xf numFmtId="0" fontId="4" fillId="3" borderId="1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3" fontId="9" fillId="4" borderId="1" xfId="0" applyNumberFormat="1" applyFont="1" applyFill="1" applyBorder="1"/>
    <xf numFmtId="3" fontId="0" fillId="4" borderId="1" xfId="0" applyNumberFormat="1" applyFill="1" applyBorder="1"/>
    <xf numFmtId="3" fontId="7" fillId="4" borderId="1" xfId="0" applyNumberFormat="1" applyFont="1" applyFill="1" applyBorder="1"/>
    <xf numFmtId="3" fontId="19" fillId="4" borderId="1" xfId="0" applyNumberFormat="1" applyFont="1" applyFill="1" applyBorder="1"/>
    <xf numFmtId="0" fontId="0" fillId="0" borderId="0" xfId="0" applyAlignment="1">
      <alignment horizontal="right"/>
    </xf>
    <xf numFmtId="3" fontId="10" fillId="3" borderId="11" xfId="0" applyNumberFormat="1" applyFont="1" applyFill="1" applyBorder="1"/>
    <xf numFmtId="3" fontId="8" fillId="3" borderId="11" xfId="0" applyNumberFormat="1" applyFont="1" applyFill="1" applyBorder="1"/>
    <xf numFmtId="3" fontId="9" fillId="4" borderId="0" xfId="0" applyNumberFormat="1" applyFont="1" applyFill="1" applyBorder="1"/>
    <xf numFmtId="3" fontId="3" fillId="4" borderId="0" xfId="0" applyNumberFormat="1" applyFont="1" applyFill="1" applyBorder="1"/>
    <xf numFmtId="0" fontId="7" fillId="4" borderId="0" xfId="0" applyFont="1" applyFill="1" applyBorder="1"/>
    <xf numFmtId="3" fontId="7" fillId="4" borderId="0" xfId="0" applyNumberFormat="1" applyFont="1" applyFill="1" applyBorder="1"/>
    <xf numFmtId="3" fontId="8" fillId="4" borderId="0" xfId="0" applyNumberFormat="1" applyFont="1" applyFill="1" applyBorder="1"/>
    <xf numFmtId="0" fontId="3" fillId="0" borderId="12" xfId="0" applyFont="1" applyBorder="1"/>
    <xf numFmtId="3" fontId="5" fillId="5" borderId="23" xfId="0" applyNumberFormat="1" applyFont="1" applyFill="1" applyBorder="1"/>
    <xf numFmtId="0" fontId="3" fillId="0" borderId="39" xfId="0" applyFont="1" applyBorder="1"/>
    <xf numFmtId="0" fontId="3" fillId="6" borderId="0" xfId="0" applyFont="1" applyFill="1" applyBorder="1"/>
    <xf numFmtId="0" fontId="20" fillId="3" borderId="7" xfId="0" applyFont="1" applyFill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3" fontId="9" fillId="0" borderId="1" xfId="0" applyNumberFormat="1" applyFont="1" applyFill="1" applyBorder="1"/>
    <xf numFmtId="3" fontId="4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workbookViewId="0">
      <pane xSplit="2" ySplit="3" topLeftCell="E41" activePane="bottomRight" state="frozen"/>
      <selection pane="topRight" activeCell="C1" sqref="C1"/>
      <selection pane="bottomLeft" activeCell="A4" sqref="A4"/>
      <selection pane="bottomRight" activeCell="H6" sqref="H6"/>
    </sheetView>
  </sheetViews>
  <sheetFormatPr baseColWidth="10" defaultRowHeight="15" x14ac:dyDescent="0.25"/>
  <cols>
    <col min="1" max="1" width="8" customWidth="1"/>
    <col min="2" max="2" width="28.85546875" customWidth="1"/>
    <col min="3" max="3" width="7" style="144" customWidth="1"/>
    <col min="4" max="4" width="14.5703125" bestFit="1" customWidth="1"/>
    <col min="5" max="5" width="15.7109375" customWidth="1"/>
    <col min="6" max="6" width="17.7109375" bestFit="1" customWidth="1"/>
    <col min="7" max="7" width="13.28515625" bestFit="1" customWidth="1"/>
    <col min="8" max="8" width="17.7109375" style="144" customWidth="1"/>
    <col min="9" max="10" width="13.28515625" style="144" customWidth="1"/>
  </cols>
  <sheetData>
    <row r="1" spans="1:12" ht="28.9" customHeight="1" x14ac:dyDescent="0.35">
      <c r="B1" s="39" t="s">
        <v>141</v>
      </c>
      <c r="C1" s="39"/>
      <c r="D1" s="40"/>
      <c r="E1" s="41"/>
      <c r="F1" s="3"/>
      <c r="G1" s="3"/>
      <c r="H1" s="3"/>
      <c r="I1" s="3"/>
      <c r="J1" s="3"/>
    </row>
    <row r="2" spans="1:12" ht="23.25" x14ac:dyDescent="0.35">
      <c r="B2" s="1"/>
      <c r="C2" s="1"/>
      <c r="D2" s="2"/>
      <c r="E2" s="3"/>
      <c r="F2" s="3"/>
      <c r="G2" s="3"/>
      <c r="H2" s="3"/>
      <c r="I2" s="3"/>
      <c r="J2" s="3"/>
    </row>
    <row r="3" spans="1:12" ht="25.15" customHeight="1" x14ac:dyDescent="0.25">
      <c r="A3" s="27" t="s">
        <v>0</v>
      </c>
      <c r="B3" s="26" t="s">
        <v>1</v>
      </c>
      <c r="C3" s="169" t="s">
        <v>77</v>
      </c>
      <c r="D3" s="27" t="s">
        <v>89</v>
      </c>
      <c r="E3" s="27" t="s">
        <v>112</v>
      </c>
      <c r="F3" s="27" t="s">
        <v>136</v>
      </c>
      <c r="G3" s="27" t="s">
        <v>108</v>
      </c>
      <c r="H3" s="27" t="s">
        <v>138</v>
      </c>
      <c r="I3" s="27" t="s">
        <v>128</v>
      </c>
      <c r="J3" s="27" t="s">
        <v>160</v>
      </c>
    </row>
    <row r="4" spans="1:12" x14ac:dyDescent="0.25">
      <c r="A4" s="13">
        <v>3110</v>
      </c>
      <c r="B4" s="13" t="s">
        <v>2</v>
      </c>
      <c r="C4" s="170"/>
      <c r="D4" s="138"/>
      <c r="E4" s="138"/>
      <c r="F4" s="138"/>
      <c r="G4" s="130"/>
      <c r="H4" s="138"/>
      <c r="I4" s="138"/>
      <c r="J4" s="138"/>
    </row>
    <row r="5" spans="1:12" x14ac:dyDescent="0.25">
      <c r="A5" s="13">
        <v>3115</v>
      </c>
      <c r="B5" s="13" t="s">
        <v>3</v>
      </c>
      <c r="C5" s="170"/>
      <c r="D5" s="138"/>
      <c r="E5" s="138"/>
      <c r="F5" s="138"/>
      <c r="G5" s="130"/>
      <c r="H5" s="138"/>
      <c r="I5" s="138"/>
      <c r="J5" s="138"/>
    </row>
    <row r="6" spans="1:12" x14ac:dyDescent="0.25">
      <c r="A6" s="13">
        <v>3400</v>
      </c>
      <c r="B6" s="58" t="s">
        <v>4</v>
      </c>
      <c r="C6" s="171"/>
      <c r="D6" s="138">
        <v>37846</v>
      </c>
      <c r="E6" s="138">
        <v>36300</v>
      </c>
      <c r="F6" s="138">
        <v>41198</v>
      </c>
      <c r="G6" s="130">
        <v>35000</v>
      </c>
      <c r="H6" s="138">
        <f>11695+39292</f>
        <v>50987</v>
      </c>
      <c r="I6" s="138">
        <v>35000</v>
      </c>
      <c r="J6" s="138">
        <v>42000</v>
      </c>
      <c r="L6" t="s">
        <v>180</v>
      </c>
    </row>
    <row r="7" spans="1:12" x14ac:dyDescent="0.25">
      <c r="A7" s="13">
        <v>3440</v>
      </c>
      <c r="B7" s="13" t="s">
        <v>55</v>
      </c>
      <c r="C7" s="170"/>
      <c r="D7" s="138"/>
      <c r="E7" s="138"/>
      <c r="F7" s="138"/>
      <c r="G7" s="130"/>
      <c r="H7" s="138"/>
      <c r="I7" s="138"/>
      <c r="J7" s="138"/>
      <c r="L7" t="s">
        <v>181</v>
      </c>
    </row>
    <row r="8" spans="1:12" x14ac:dyDescent="0.25">
      <c r="A8" s="13">
        <v>3605</v>
      </c>
      <c r="B8" s="13" t="s">
        <v>5</v>
      </c>
      <c r="C8" s="170"/>
      <c r="D8" s="138"/>
      <c r="E8" s="138"/>
      <c r="F8" s="138"/>
      <c r="G8" s="130"/>
      <c r="H8" s="138"/>
      <c r="I8" s="138"/>
      <c r="J8" s="138"/>
      <c r="L8" t="s">
        <v>182</v>
      </c>
    </row>
    <row r="9" spans="1:12" x14ac:dyDescent="0.25">
      <c r="A9" s="13">
        <v>3620</v>
      </c>
      <c r="B9" s="23" t="s">
        <v>91</v>
      </c>
      <c r="C9" s="172"/>
      <c r="D9" s="138"/>
      <c r="E9" s="138"/>
      <c r="F9" s="138"/>
      <c r="G9" s="130"/>
      <c r="H9" s="138"/>
      <c r="I9" s="138"/>
      <c r="J9" s="138"/>
      <c r="L9" t="s">
        <v>183</v>
      </c>
    </row>
    <row r="10" spans="1:12" x14ac:dyDescent="0.25">
      <c r="A10" s="13">
        <v>3920</v>
      </c>
      <c r="B10" s="13" t="s">
        <v>6</v>
      </c>
      <c r="C10" s="170"/>
      <c r="D10" s="138"/>
      <c r="E10" s="138"/>
      <c r="F10" s="138"/>
      <c r="G10" s="130"/>
      <c r="H10" s="138"/>
      <c r="I10" s="138"/>
      <c r="J10" s="138"/>
      <c r="L10" t="s">
        <v>184</v>
      </c>
    </row>
    <row r="11" spans="1:12" x14ac:dyDescent="0.25">
      <c r="A11" s="13">
        <v>3925</v>
      </c>
      <c r="B11" s="13" t="s">
        <v>7</v>
      </c>
      <c r="C11" s="170"/>
      <c r="D11" s="138">
        <v>30200</v>
      </c>
      <c r="E11" s="138">
        <v>27200</v>
      </c>
      <c r="F11" s="138">
        <v>28850</v>
      </c>
      <c r="G11" s="130">
        <v>27000</v>
      </c>
      <c r="H11" s="138">
        <v>27500</v>
      </c>
      <c r="I11" s="138">
        <v>30000</v>
      </c>
      <c r="J11" s="138">
        <v>30000</v>
      </c>
      <c r="L11" t="s">
        <v>185</v>
      </c>
    </row>
    <row r="12" spans="1:12" x14ac:dyDescent="0.25">
      <c r="A12" s="13">
        <v>3926</v>
      </c>
      <c r="B12" s="23" t="s">
        <v>13</v>
      </c>
      <c r="C12" s="172"/>
      <c r="D12" s="138"/>
      <c r="E12" s="138"/>
      <c r="F12" s="138"/>
      <c r="G12" s="130"/>
      <c r="H12" s="138"/>
      <c r="I12" s="138"/>
      <c r="J12" s="138"/>
      <c r="L12" t="s">
        <v>186</v>
      </c>
    </row>
    <row r="13" spans="1:12" x14ac:dyDescent="0.25">
      <c r="A13" s="13">
        <v>3950</v>
      </c>
      <c r="B13" s="13" t="s">
        <v>9</v>
      </c>
      <c r="C13" s="170"/>
      <c r="D13" s="138">
        <v>30920</v>
      </c>
      <c r="E13" s="138">
        <v>26095</v>
      </c>
      <c r="F13" s="138">
        <v>4200</v>
      </c>
      <c r="G13" s="130">
        <v>25000</v>
      </c>
      <c r="H13" s="219">
        <v>51181</v>
      </c>
      <c r="I13" s="138">
        <v>20000</v>
      </c>
      <c r="J13" s="138">
        <f>7000+1200+28200</f>
        <v>36400</v>
      </c>
      <c r="K13" t="s">
        <v>130</v>
      </c>
      <c r="L13" t="s">
        <v>187</v>
      </c>
    </row>
    <row r="14" spans="1:12" x14ac:dyDescent="0.25">
      <c r="A14" s="13">
        <v>3970</v>
      </c>
      <c r="B14" s="13" t="s">
        <v>10</v>
      </c>
      <c r="C14" s="170"/>
      <c r="D14" s="138"/>
      <c r="E14" s="138"/>
      <c r="F14" s="138"/>
      <c r="G14" s="130"/>
      <c r="H14" s="138"/>
      <c r="I14" s="138"/>
      <c r="J14" s="138"/>
      <c r="L14" t="s">
        <v>188</v>
      </c>
    </row>
    <row r="15" spans="1:12" x14ac:dyDescent="0.25">
      <c r="A15" s="13">
        <v>3975</v>
      </c>
      <c r="B15" s="13" t="s">
        <v>11</v>
      </c>
      <c r="C15" s="170"/>
      <c r="D15" s="138"/>
      <c r="E15" s="138">
        <f>7896+4810</f>
        <v>12706</v>
      </c>
      <c r="F15" s="138">
        <v>35776</v>
      </c>
      <c r="G15" s="130">
        <v>12000</v>
      </c>
      <c r="H15" s="138">
        <v>-36954</v>
      </c>
      <c r="I15" s="138">
        <v>7500</v>
      </c>
      <c r="J15" s="138">
        <f>10000+10100+10000+2000+4000</f>
        <v>36100</v>
      </c>
      <c r="L15" t="s">
        <v>189</v>
      </c>
    </row>
    <row r="16" spans="1:12" x14ac:dyDescent="0.25">
      <c r="A16" s="13">
        <v>3980</v>
      </c>
      <c r="B16" s="13" t="s">
        <v>12</v>
      </c>
      <c r="C16" s="170"/>
      <c r="D16" s="138"/>
      <c r="E16" s="138"/>
      <c r="F16" s="138"/>
      <c r="G16" s="130"/>
      <c r="H16" s="138">
        <v>14355</v>
      </c>
      <c r="I16" s="138"/>
      <c r="J16" s="138">
        <v>0</v>
      </c>
      <c r="K16" t="s">
        <v>130</v>
      </c>
      <c r="L16" t="s">
        <v>190</v>
      </c>
    </row>
    <row r="17" spans="1:12" x14ac:dyDescent="0.25">
      <c r="A17" s="13">
        <v>3990</v>
      </c>
      <c r="B17" s="23" t="s">
        <v>8</v>
      </c>
      <c r="C17" s="172"/>
      <c r="D17" s="138"/>
      <c r="E17" s="138"/>
      <c r="F17" s="138"/>
      <c r="G17" s="130"/>
      <c r="H17" s="138"/>
      <c r="I17" s="138"/>
      <c r="J17" s="138"/>
    </row>
    <row r="18" spans="1:12" ht="19.149999999999999" customHeight="1" x14ac:dyDescent="0.25">
      <c r="A18" s="13"/>
      <c r="B18" s="30" t="s">
        <v>14</v>
      </c>
      <c r="C18" s="173"/>
      <c r="D18" s="31">
        <f t="shared" ref="D18:J18" si="0">SUM(D4:D17)</f>
        <v>98966</v>
      </c>
      <c r="E18" s="140">
        <f t="shared" si="0"/>
        <v>102301</v>
      </c>
      <c r="F18" s="31">
        <f t="shared" si="0"/>
        <v>110024</v>
      </c>
      <c r="G18" s="140">
        <f>SUM(G4:G17)</f>
        <v>99000</v>
      </c>
      <c r="H18" s="140">
        <f t="shared" si="0"/>
        <v>107069</v>
      </c>
      <c r="I18" s="140">
        <f t="shared" si="0"/>
        <v>92500</v>
      </c>
      <c r="J18" s="140">
        <f t="shared" si="0"/>
        <v>144500</v>
      </c>
      <c r="L18" t="s">
        <v>191</v>
      </c>
    </row>
    <row r="19" spans="1:12" x14ac:dyDescent="0.25">
      <c r="A19" s="13"/>
      <c r="B19" s="12" t="s">
        <v>15</v>
      </c>
      <c r="C19" s="174"/>
      <c r="D19" s="22"/>
      <c r="E19" s="135"/>
      <c r="F19" s="22"/>
      <c r="G19" s="127"/>
      <c r="H19" s="135"/>
      <c r="I19" s="135"/>
      <c r="J19" s="135"/>
    </row>
    <row r="20" spans="1:12" x14ac:dyDescent="0.25">
      <c r="A20" s="13">
        <v>4210</v>
      </c>
      <c r="B20" s="13" t="s">
        <v>16</v>
      </c>
      <c r="C20" s="170"/>
      <c r="D20" s="135">
        <v>710</v>
      </c>
      <c r="E20" s="135">
        <v>665</v>
      </c>
      <c r="F20" s="135"/>
      <c r="G20" s="127">
        <v>1000</v>
      </c>
      <c r="H20" s="135"/>
      <c r="I20" s="135">
        <v>1000</v>
      </c>
      <c r="J20" s="135">
        <v>600</v>
      </c>
      <c r="L20" t="s">
        <v>192</v>
      </c>
    </row>
    <row r="21" spans="1:12" x14ac:dyDescent="0.25">
      <c r="A21" s="13">
        <v>4220</v>
      </c>
      <c r="B21" s="13" t="s">
        <v>17</v>
      </c>
      <c r="C21" s="170"/>
      <c r="D21" s="135"/>
      <c r="E21" s="135"/>
      <c r="F21" s="135"/>
      <c r="G21" s="127"/>
      <c r="H21" s="135"/>
      <c r="I21" s="135"/>
      <c r="J21" s="135"/>
      <c r="L21" t="s">
        <v>193</v>
      </c>
    </row>
    <row r="22" spans="1:12" x14ac:dyDescent="0.25">
      <c r="A22" s="13">
        <v>4225</v>
      </c>
      <c r="B22" s="13" t="s">
        <v>19</v>
      </c>
      <c r="C22" s="170"/>
      <c r="D22" s="135"/>
      <c r="E22" s="135"/>
      <c r="F22" s="135"/>
      <c r="G22" s="127"/>
      <c r="H22" s="135"/>
      <c r="I22" s="135"/>
      <c r="J22" s="135"/>
      <c r="L22" t="s">
        <v>194</v>
      </c>
    </row>
    <row r="23" spans="1:12" x14ac:dyDescent="0.25">
      <c r="A23" s="13">
        <v>4300</v>
      </c>
      <c r="B23" s="13" t="s">
        <v>18</v>
      </c>
      <c r="C23" s="170"/>
      <c r="D23" s="135"/>
      <c r="E23" s="135"/>
      <c r="F23" s="135"/>
      <c r="G23" s="127"/>
      <c r="H23" s="135"/>
      <c r="I23" s="135"/>
      <c r="J23" s="135"/>
      <c r="L23" t="s">
        <v>195</v>
      </c>
    </row>
    <row r="24" spans="1:12" x14ac:dyDescent="0.25">
      <c r="A24" s="13">
        <v>5000</v>
      </c>
      <c r="B24" s="13" t="s">
        <v>20</v>
      </c>
      <c r="C24" s="170"/>
      <c r="D24" s="135">
        <v>13548</v>
      </c>
      <c r="E24" s="135">
        <v>8740</v>
      </c>
      <c r="F24" s="135">
        <v>9460</v>
      </c>
      <c r="G24" s="127">
        <v>12000</v>
      </c>
      <c r="H24" s="135">
        <v>40295</v>
      </c>
      <c r="I24" s="135">
        <v>12000</v>
      </c>
      <c r="J24" s="135">
        <v>25000</v>
      </c>
      <c r="L24" t="s">
        <v>196</v>
      </c>
    </row>
    <row r="25" spans="1:12" x14ac:dyDescent="0.25">
      <c r="A25" s="13">
        <v>6315</v>
      </c>
      <c r="B25" s="13" t="s">
        <v>22</v>
      </c>
      <c r="C25" s="170"/>
      <c r="D25" s="135"/>
      <c r="E25" s="135"/>
      <c r="F25" s="135"/>
      <c r="G25" s="127"/>
      <c r="H25" s="135"/>
      <c r="I25" s="135"/>
      <c r="J25" s="135"/>
      <c r="L25" t="s">
        <v>197</v>
      </c>
    </row>
    <row r="26" spans="1:12" x14ac:dyDescent="0.25">
      <c r="A26" s="13">
        <v>6316</v>
      </c>
      <c r="B26" s="13" t="s">
        <v>39</v>
      </c>
      <c r="C26" s="170"/>
      <c r="D26" s="135"/>
      <c r="E26" s="135"/>
      <c r="F26" s="135"/>
      <c r="G26" s="127"/>
      <c r="H26" s="135"/>
      <c r="I26" s="135"/>
      <c r="J26" s="135"/>
      <c r="L26" t="s">
        <v>198</v>
      </c>
    </row>
    <row r="27" spans="1:12" x14ac:dyDescent="0.25">
      <c r="A27" s="13">
        <v>6320</v>
      </c>
      <c r="B27" s="13" t="s">
        <v>23</v>
      </c>
      <c r="C27" s="170"/>
      <c r="D27" s="135"/>
      <c r="E27" s="135"/>
      <c r="F27" s="135"/>
      <c r="G27" s="127"/>
      <c r="H27" s="135"/>
      <c r="I27" s="135"/>
      <c r="J27" s="135"/>
      <c r="L27" t="s">
        <v>199</v>
      </c>
    </row>
    <row r="28" spans="1:12" x14ac:dyDescent="0.25">
      <c r="A28" s="13">
        <v>6340</v>
      </c>
      <c r="B28" s="13" t="s">
        <v>41</v>
      </c>
      <c r="C28" s="170"/>
      <c r="D28" s="135"/>
      <c r="E28" s="135"/>
      <c r="F28" s="135"/>
      <c r="G28" s="127"/>
      <c r="H28" s="135"/>
      <c r="I28" s="135"/>
      <c r="J28" s="135"/>
    </row>
    <row r="29" spans="1:12" x14ac:dyDescent="0.25">
      <c r="A29" s="13">
        <v>6340</v>
      </c>
      <c r="B29" s="13" t="s">
        <v>42</v>
      </c>
      <c r="C29" s="170"/>
      <c r="D29" s="135"/>
      <c r="E29" s="135"/>
      <c r="F29" s="135"/>
      <c r="G29" s="127"/>
      <c r="H29" s="135"/>
      <c r="I29" s="135"/>
      <c r="J29" s="135"/>
      <c r="L29" t="s">
        <v>200</v>
      </c>
    </row>
    <row r="30" spans="1:12" x14ac:dyDescent="0.25">
      <c r="A30" s="13">
        <v>6550</v>
      </c>
      <c r="B30" s="13" t="s">
        <v>40</v>
      </c>
      <c r="C30" s="170"/>
      <c r="D30" s="135"/>
      <c r="E30" s="135">
        <v>8924</v>
      </c>
      <c r="F30" s="135">
        <v>38628</v>
      </c>
      <c r="G30" s="127">
        <v>30000</v>
      </c>
      <c r="H30" s="135">
        <v>4226.8</v>
      </c>
      <c r="I30" s="135"/>
      <c r="J30" s="135">
        <v>65000</v>
      </c>
    </row>
    <row r="31" spans="1:12" x14ac:dyDescent="0.25">
      <c r="A31" s="13">
        <v>6600</v>
      </c>
      <c r="B31" s="13" t="s">
        <v>24</v>
      </c>
      <c r="C31" s="170"/>
      <c r="D31" s="135"/>
      <c r="E31" s="135"/>
      <c r="F31" s="135"/>
      <c r="G31" s="127"/>
      <c r="H31" s="135"/>
      <c r="I31" s="135"/>
      <c r="J31" s="135"/>
      <c r="L31" t="s">
        <v>201</v>
      </c>
    </row>
    <row r="32" spans="1:12" x14ac:dyDescent="0.25">
      <c r="A32" s="13">
        <v>6620</v>
      </c>
      <c r="B32" s="13" t="s">
        <v>25</v>
      </c>
      <c r="C32" s="170"/>
      <c r="D32" s="135"/>
      <c r="E32" s="135"/>
      <c r="F32" s="135"/>
      <c r="G32" s="127"/>
      <c r="H32" s="135"/>
      <c r="I32" s="135"/>
      <c r="J32" s="135"/>
    </row>
    <row r="33" spans="1:12" x14ac:dyDescent="0.25">
      <c r="A33" s="13">
        <v>6630</v>
      </c>
      <c r="B33" s="13" t="s">
        <v>47</v>
      </c>
      <c r="C33" s="170"/>
      <c r="D33" s="135"/>
      <c r="E33" s="135"/>
      <c r="F33" s="135"/>
      <c r="G33" s="127"/>
      <c r="H33" s="135"/>
      <c r="I33" s="135">
        <v>20000</v>
      </c>
      <c r="J33" s="135"/>
    </row>
    <row r="34" spans="1:12" x14ac:dyDescent="0.25">
      <c r="A34" s="13">
        <v>6705</v>
      </c>
      <c r="B34" s="23" t="s">
        <v>28</v>
      </c>
      <c r="C34" s="172"/>
      <c r="D34" s="135"/>
      <c r="E34" s="135"/>
      <c r="F34" s="135"/>
      <c r="G34" s="127"/>
      <c r="H34" s="135"/>
      <c r="I34" s="135"/>
      <c r="J34" s="135"/>
    </row>
    <row r="35" spans="1:12" x14ac:dyDescent="0.25">
      <c r="A35" s="13">
        <v>6800</v>
      </c>
      <c r="B35" s="13" t="s">
        <v>43</v>
      </c>
      <c r="C35" s="170"/>
      <c r="D35" s="135"/>
      <c r="E35" s="135"/>
      <c r="F35" s="135"/>
      <c r="G35" s="127"/>
      <c r="H35" s="135"/>
      <c r="I35" s="135"/>
      <c r="J35" s="135"/>
    </row>
    <row r="36" spans="1:12" x14ac:dyDescent="0.25">
      <c r="A36" s="13">
        <v>6840</v>
      </c>
      <c r="B36" s="13" t="s">
        <v>26</v>
      </c>
      <c r="C36" s="170"/>
      <c r="D36" s="135"/>
      <c r="E36" s="135"/>
      <c r="F36" s="135"/>
      <c r="G36" s="127"/>
      <c r="H36" s="135"/>
      <c r="I36" s="135"/>
      <c r="J36" s="135"/>
    </row>
    <row r="37" spans="1:12" x14ac:dyDescent="0.25">
      <c r="A37" s="13">
        <v>6860</v>
      </c>
      <c r="B37" s="13" t="s">
        <v>27</v>
      </c>
      <c r="C37" s="170"/>
      <c r="D37" s="135">
        <v>2705.7</v>
      </c>
      <c r="E37" s="135"/>
      <c r="F37" s="135"/>
      <c r="G37" s="127"/>
      <c r="H37" s="135">
        <v>2585.39</v>
      </c>
      <c r="I37" s="135"/>
      <c r="J37" s="135"/>
    </row>
    <row r="38" spans="1:12" x14ac:dyDescent="0.25">
      <c r="A38" s="13">
        <v>6900</v>
      </c>
      <c r="B38" s="23" t="s">
        <v>44</v>
      </c>
      <c r="C38" s="172"/>
      <c r="D38" s="135"/>
      <c r="E38" s="135"/>
      <c r="F38" s="135"/>
      <c r="G38" s="127"/>
      <c r="H38" s="135"/>
      <c r="I38" s="135"/>
      <c r="J38" s="135"/>
    </row>
    <row r="39" spans="1:12" x14ac:dyDescent="0.25">
      <c r="A39" s="13">
        <v>6940</v>
      </c>
      <c r="B39" s="13" t="s">
        <v>29</v>
      </c>
      <c r="C39" s="170"/>
      <c r="D39" s="135"/>
      <c r="E39" s="135"/>
      <c r="F39" s="135"/>
      <c r="G39" s="127"/>
      <c r="H39" s="135"/>
      <c r="I39" s="135"/>
      <c r="J39" s="135"/>
    </row>
    <row r="40" spans="1:12" x14ac:dyDescent="0.25">
      <c r="A40" s="13">
        <v>7000</v>
      </c>
      <c r="B40" s="13" t="s">
        <v>48</v>
      </c>
      <c r="C40" s="170"/>
      <c r="D40" s="135"/>
      <c r="E40" s="135"/>
      <c r="F40" s="135"/>
      <c r="G40" s="127"/>
      <c r="H40" s="135"/>
      <c r="I40" s="135"/>
      <c r="J40" s="135"/>
    </row>
    <row r="41" spans="1:12" x14ac:dyDescent="0.25">
      <c r="A41" s="13">
        <v>7140</v>
      </c>
      <c r="B41" s="13" t="s">
        <v>45</v>
      </c>
      <c r="C41" s="170"/>
      <c r="D41" s="135"/>
      <c r="E41" s="135"/>
      <c r="F41" s="135"/>
      <c r="G41" s="127"/>
      <c r="H41" s="135">
        <v>1141.3</v>
      </c>
      <c r="I41" s="135"/>
      <c r="J41" s="135"/>
    </row>
    <row r="42" spans="1:12" x14ac:dyDescent="0.25">
      <c r="A42" s="13">
        <v>7320</v>
      </c>
      <c r="B42" s="23" t="s">
        <v>30</v>
      </c>
      <c r="C42" s="172"/>
      <c r="D42" s="135"/>
      <c r="E42" s="135"/>
      <c r="F42" s="135"/>
      <c r="G42" s="127"/>
      <c r="H42" s="135"/>
      <c r="I42" s="135"/>
      <c r="J42" s="135"/>
    </row>
    <row r="43" spans="1:12" x14ac:dyDescent="0.25">
      <c r="A43" s="13">
        <v>7400</v>
      </c>
      <c r="B43" s="13" t="s">
        <v>31</v>
      </c>
      <c r="C43" s="170"/>
      <c r="D43" s="135">
        <v>16550</v>
      </c>
      <c r="E43" s="135">
        <v>16800</v>
      </c>
      <c r="F43" s="135">
        <v>16200</v>
      </c>
      <c r="G43" s="127">
        <v>16000</v>
      </c>
      <c r="H43" s="135">
        <v>11970</v>
      </c>
      <c r="I43" s="135">
        <v>16000</v>
      </c>
      <c r="J43" s="135">
        <v>16000</v>
      </c>
    </row>
    <row r="44" spans="1:12" x14ac:dyDescent="0.25">
      <c r="A44" s="13">
        <v>7420</v>
      </c>
      <c r="B44" s="13" t="s">
        <v>12</v>
      </c>
      <c r="C44" s="170"/>
      <c r="D44" s="135">
        <v>1832</v>
      </c>
      <c r="E44" s="135">
        <v>1120</v>
      </c>
      <c r="F44" s="135">
        <v>2315</v>
      </c>
      <c r="G44" s="127">
        <v>1000</v>
      </c>
      <c r="H44" s="135">
        <v>2490</v>
      </c>
      <c r="I44" s="135">
        <v>1000</v>
      </c>
      <c r="J44" s="135">
        <v>1800</v>
      </c>
    </row>
    <row r="45" spans="1:12" x14ac:dyDescent="0.25">
      <c r="A45" s="13">
        <v>7500</v>
      </c>
      <c r="B45" s="13" t="s">
        <v>21</v>
      </c>
      <c r="C45" s="170"/>
      <c r="D45" s="135"/>
      <c r="E45" s="135"/>
      <c r="F45" s="135"/>
      <c r="G45" s="127"/>
      <c r="H45" s="135"/>
      <c r="I45" s="135"/>
      <c r="J45" s="135"/>
    </row>
    <row r="46" spans="1:12" s="144" customFormat="1" x14ac:dyDescent="0.25">
      <c r="A46" s="13">
        <v>7745</v>
      </c>
      <c r="B46" s="13" t="s">
        <v>92</v>
      </c>
      <c r="C46" s="170"/>
      <c r="D46" s="135"/>
      <c r="E46" s="135"/>
      <c r="F46" s="135">
        <v>400</v>
      </c>
      <c r="G46" s="135">
        <v>3000</v>
      </c>
      <c r="H46" s="135">
        <v>2422</v>
      </c>
      <c r="I46" s="135">
        <v>3000</v>
      </c>
      <c r="J46" s="135">
        <v>4000</v>
      </c>
      <c r="L46" s="144">
        <f>55826.09</f>
        <v>55826.09</v>
      </c>
    </row>
    <row r="47" spans="1:12" x14ac:dyDescent="0.25">
      <c r="A47" s="13">
        <v>7750</v>
      </c>
      <c r="B47" s="13" t="s">
        <v>32</v>
      </c>
      <c r="C47" s="170"/>
      <c r="D47" s="135">
        <v>35050</v>
      </c>
      <c r="E47" s="135">
        <v>27929</v>
      </c>
      <c r="F47" s="135">
        <v>24395</v>
      </c>
      <c r="G47" s="127">
        <v>30000</v>
      </c>
      <c r="H47" s="135">
        <v>42587.8</v>
      </c>
      <c r="I47" s="135">
        <v>30000</v>
      </c>
      <c r="J47" s="135">
        <v>31000</v>
      </c>
      <c r="L47">
        <f>16439-55826.09</f>
        <v>-39387.089999999997</v>
      </c>
    </row>
    <row r="48" spans="1:12" x14ac:dyDescent="0.25">
      <c r="A48" s="13">
        <v>7755</v>
      </c>
      <c r="B48" s="13" t="s">
        <v>33</v>
      </c>
      <c r="C48" s="170"/>
      <c r="D48" s="135">
        <v>950</v>
      </c>
      <c r="E48" s="135"/>
      <c r="F48" s="135"/>
      <c r="G48" s="127">
        <v>2000</v>
      </c>
      <c r="H48" s="135">
        <v>1800</v>
      </c>
      <c r="I48" s="135">
        <v>5000</v>
      </c>
      <c r="J48" s="135"/>
      <c r="L48">
        <f>55826.09+31221-47660</f>
        <v>39387.089999999997</v>
      </c>
    </row>
    <row r="49" spans="1:10" x14ac:dyDescent="0.25">
      <c r="A49" s="13">
        <v>7770</v>
      </c>
      <c r="B49" s="13" t="s">
        <v>46</v>
      </c>
      <c r="C49" s="170"/>
      <c r="D49" s="135"/>
      <c r="E49" s="135"/>
      <c r="F49" s="135">
        <v>60</v>
      </c>
      <c r="G49" s="127"/>
      <c r="H49" s="135"/>
      <c r="I49" s="135"/>
      <c r="J49" s="135"/>
    </row>
    <row r="50" spans="1:10" x14ac:dyDescent="0.25">
      <c r="A50" s="13">
        <v>7790</v>
      </c>
      <c r="B50" s="13" t="s">
        <v>34</v>
      </c>
      <c r="C50" s="170"/>
      <c r="D50" s="135"/>
      <c r="E50" s="135">
        <v>800</v>
      </c>
      <c r="F50" s="135">
        <v>500</v>
      </c>
      <c r="G50" s="127">
        <v>4000</v>
      </c>
      <c r="H50" s="135">
        <v>205</v>
      </c>
      <c r="I50" s="135">
        <v>4000</v>
      </c>
      <c r="J50" s="135">
        <v>1000</v>
      </c>
    </row>
    <row r="51" spans="1:10" x14ac:dyDescent="0.25">
      <c r="A51" s="13">
        <v>6010</v>
      </c>
      <c r="B51" s="23" t="s">
        <v>35</v>
      </c>
      <c r="C51" s="172"/>
      <c r="D51" s="135"/>
      <c r="E51" s="135"/>
      <c r="F51" s="135"/>
      <c r="G51" s="127"/>
      <c r="H51" s="135"/>
      <c r="I51" s="135"/>
      <c r="J51" s="135"/>
    </row>
    <row r="52" spans="1:10" x14ac:dyDescent="0.25">
      <c r="A52" s="13"/>
      <c r="B52" s="26" t="s">
        <v>36</v>
      </c>
      <c r="C52" s="169"/>
      <c r="D52" s="32">
        <f t="shared" ref="D52:J52" si="1">SUM(D20:D51)</f>
        <v>71345.7</v>
      </c>
      <c r="E52" s="141">
        <f t="shared" si="1"/>
        <v>64978</v>
      </c>
      <c r="F52" s="32">
        <f t="shared" si="1"/>
        <v>91958</v>
      </c>
      <c r="G52" s="141">
        <f>SUM(G20:G51)</f>
        <v>99000</v>
      </c>
      <c r="H52" s="141">
        <f t="shared" si="1"/>
        <v>109723.29000000001</v>
      </c>
      <c r="I52" s="141">
        <f t="shared" si="1"/>
        <v>92000</v>
      </c>
      <c r="J52" s="141">
        <f t="shared" si="1"/>
        <v>144400</v>
      </c>
    </row>
    <row r="53" spans="1:10" x14ac:dyDescent="0.25">
      <c r="A53" s="13"/>
      <c r="B53" s="33"/>
      <c r="C53" s="175"/>
      <c r="D53" s="29"/>
      <c r="E53" s="139"/>
      <c r="F53" s="29"/>
      <c r="G53" s="131"/>
      <c r="H53" s="139"/>
      <c r="I53" s="139"/>
      <c r="J53" s="139"/>
    </row>
    <row r="54" spans="1:10" x14ac:dyDescent="0.25">
      <c r="A54" s="13"/>
      <c r="B54" s="26" t="s">
        <v>38</v>
      </c>
      <c r="C54" s="169"/>
      <c r="D54" s="32">
        <f t="shared" ref="D54:J54" si="2">(D18-D52)</f>
        <v>27620.300000000003</v>
      </c>
      <c r="E54" s="141">
        <f t="shared" si="2"/>
        <v>37323</v>
      </c>
      <c r="F54" s="32">
        <f t="shared" si="2"/>
        <v>18066</v>
      </c>
      <c r="G54" s="141">
        <f>(G18-G52)</f>
        <v>0</v>
      </c>
      <c r="H54" s="141">
        <f t="shared" si="2"/>
        <v>-2654.2900000000081</v>
      </c>
      <c r="I54" s="141">
        <f t="shared" si="2"/>
        <v>500</v>
      </c>
      <c r="J54" s="141">
        <f t="shared" si="2"/>
        <v>100</v>
      </c>
    </row>
    <row r="55" spans="1:10" x14ac:dyDescent="0.25">
      <c r="A55" s="23"/>
      <c r="B55" s="23"/>
      <c r="C55" s="172"/>
      <c r="D55" s="23"/>
      <c r="E55" s="136"/>
      <c r="F55" s="23"/>
      <c r="G55" s="128"/>
      <c r="H55" s="136"/>
      <c r="I55" s="136"/>
      <c r="J55" s="136"/>
    </row>
    <row r="56" spans="1:10" x14ac:dyDescent="0.25">
      <c r="A56" s="23"/>
      <c r="B56" s="24" t="s">
        <v>49</v>
      </c>
      <c r="C56" s="176"/>
      <c r="D56" s="25"/>
      <c r="E56" s="137"/>
      <c r="F56" s="25"/>
      <c r="G56" s="129"/>
      <c r="H56" s="137"/>
      <c r="I56" s="137"/>
      <c r="J56" s="137"/>
    </row>
    <row r="57" spans="1:10" x14ac:dyDescent="0.25">
      <c r="A57" s="23"/>
      <c r="B57" s="23" t="s">
        <v>50</v>
      </c>
      <c r="C57" s="172"/>
      <c r="D57" s="137">
        <v>6.56</v>
      </c>
      <c r="E57" s="137">
        <v>30.4</v>
      </c>
      <c r="F57" s="25">
        <v>54</v>
      </c>
      <c r="G57" s="129"/>
      <c r="H57" s="137"/>
      <c r="I57" s="137"/>
      <c r="J57" s="137"/>
    </row>
    <row r="58" spans="1:10" x14ac:dyDescent="0.25">
      <c r="A58" s="23"/>
      <c r="B58" s="23" t="s">
        <v>52</v>
      </c>
      <c r="C58" s="172"/>
      <c r="D58" s="137"/>
      <c r="E58" s="137"/>
      <c r="F58" s="25"/>
      <c r="G58" s="129"/>
      <c r="H58" s="137"/>
      <c r="I58" s="137"/>
      <c r="J58" s="137"/>
    </row>
    <row r="59" spans="1:10" x14ac:dyDescent="0.25">
      <c r="A59" s="23"/>
      <c r="B59" s="34" t="s">
        <v>53</v>
      </c>
      <c r="C59" s="177"/>
      <c r="D59" s="35">
        <f>D57-D58</f>
        <v>6.56</v>
      </c>
      <c r="E59" s="142">
        <f t="shared" ref="E59" si="3">E57-E58</f>
        <v>30.4</v>
      </c>
      <c r="F59" s="35">
        <f t="shared" ref="F59" si="4">F57-F58</f>
        <v>54</v>
      </c>
      <c r="G59" s="142">
        <f>G57-G58</f>
        <v>0</v>
      </c>
      <c r="H59" s="142"/>
      <c r="I59" s="142"/>
      <c r="J59" s="142"/>
    </row>
    <row r="60" spans="1:10" x14ac:dyDescent="0.25">
      <c r="A60" s="23"/>
      <c r="B60" s="23"/>
      <c r="C60" s="172"/>
      <c r="D60" s="25"/>
      <c r="E60" s="137"/>
      <c r="F60" s="25"/>
      <c r="G60" s="129"/>
      <c r="H60" s="137"/>
      <c r="I60" s="137"/>
      <c r="J60" s="137"/>
    </row>
    <row r="61" spans="1:10" x14ac:dyDescent="0.25">
      <c r="A61" s="23"/>
      <c r="B61" s="36" t="s">
        <v>37</v>
      </c>
      <c r="C61" s="178"/>
      <c r="D61" s="37">
        <f>D54+D59</f>
        <v>27626.860000000004</v>
      </c>
      <c r="E61" s="143">
        <f t="shared" ref="E61" si="5">E54+E59</f>
        <v>37353.4</v>
      </c>
      <c r="F61" s="37">
        <f t="shared" ref="F61:J61" si="6">F54+F59</f>
        <v>18120</v>
      </c>
      <c r="G61" s="143">
        <f>G54+G59</f>
        <v>0</v>
      </c>
      <c r="H61" s="143">
        <f t="shared" si="6"/>
        <v>-2654.2900000000081</v>
      </c>
      <c r="I61" s="143">
        <f t="shared" si="6"/>
        <v>500</v>
      </c>
      <c r="J61" s="143">
        <f t="shared" si="6"/>
        <v>100</v>
      </c>
    </row>
    <row r="63" spans="1:10" x14ac:dyDescent="0.25">
      <c r="B63" s="62" t="s">
        <v>87</v>
      </c>
      <c r="C63" s="62"/>
    </row>
    <row r="64" spans="1:10" x14ac:dyDescent="0.25">
      <c r="B64" t="s">
        <v>111</v>
      </c>
    </row>
    <row r="65" spans="2:11" x14ac:dyDescent="0.25">
      <c r="B65" s="132"/>
      <c r="D65" s="132"/>
      <c r="E65" s="132"/>
      <c r="F65" s="132"/>
      <c r="G65" s="132"/>
      <c r="K65" s="132"/>
    </row>
    <row r="66" spans="2:11" x14ac:dyDescent="0.25">
      <c r="B66" s="132"/>
    </row>
    <row r="67" spans="2:11" x14ac:dyDescent="0.25">
      <c r="B67" s="132"/>
    </row>
    <row r="68" spans="2:11" x14ac:dyDescent="0.25">
      <c r="B68" s="132"/>
    </row>
    <row r="69" spans="2:11" x14ac:dyDescent="0.25">
      <c r="B69" s="132"/>
    </row>
    <row r="70" spans="2:11" x14ac:dyDescent="0.25">
      <c r="B70" s="132"/>
    </row>
    <row r="71" spans="2:11" x14ac:dyDescent="0.25">
      <c r="B71" s="132"/>
    </row>
    <row r="72" spans="2:11" x14ac:dyDescent="0.25">
      <c r="B72" s="132"/>
    </row>
    <row r="73" spans="2:11" x14ac:dyDescent="0.25">
      <c r="B73" s="132"/>
    </row>
    <row r="74" spans="2:11" x14ac:dyDescent="0.25">
      <c r="B74" s="133"/>
      <c r="C74" s="133"/>
    </row>
    <row r="75" spans="2:11" x14ac:dyDescent="0.25">
      <c r="B75" s="132"/>
    </row>
    <row r="77" spans="2:11" x14ac:dyDescent="0.25">
      <c r="B77" s="134"/>
      <c r="C77" s="134"/>
    </row>
    <row r="78" spans="2:11" x14ac:dyDescent="0.25">
      <c r="B78" s="133"/>
      <c r="C78" s="133"/>
    </row>
  </sheetData>
  <pageMargins left="0.7" right="0.7" top="0.75" bottom="0.75" header="0.3" footer="0.3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workbookViewId="0">
      <pane xSplit="2" ySplit="3" topLeftCell="E7" activePane="bottomRight" state="frozen"/>
      <selection pane="topRight" activeCell="C1" sqref="C1"/>
      <selection pane="bottomLeft" activeCell="A4" sqref="A4"/>
      <selection pane="bottomRight" activeCell="J29" sqref="J29"/>
    </sheetView>
  </sheetViews>
  <sheetFormatPr baseColWidth="10" defaultRowHeight="15" x14ac:dyDescent="0.25"/>
  <cols>
    <col min="1" max="1" width="6.7109375" customWidth="1"/>
    <col min="2" max="2" width="35.42578125" customWidth="1"/>
    <col min="3" max="3" width="7.5703125" style="144" customWidth="1"/>
    <col min="4" max="4" width="14.5703125" bestFit="1" customWidth="1"/>
    <col min="5" max="5" width="15.7109375" customWidth="1"/>
    <col min="6" max="6" width="15.7109375" bestFit="1" customWidth="1"/>
    <col min="7" max="7" width="13.28515625" bestFit="1" customWidth="1"/>
    <col min="8" max="8" width="15.7109375" style="144" customWidth="1"/>
    <col min="9" max="10" width="13.28515625" style="144" customWidth="1"/>
  </cols>
  <sheetData>
    <row r="1" spans="1:10" ht="23.25" x14ac:dyDescent="0.35">
      <c r="B1" s="1" t="s">
        <v>147</v>
      </c>
      <c r="C1" s="1"/>
      <c r="D1" s="2"/>
      <c r="E1" s="3"/>
      <c r="F1" s="3"/>
      <c r="G1" s="3"/>
      <c r="H1" s="3"/>
      <c r="I1" s="3"/>
      <c r="J1" s="3"/>
    </row>
    <row r="2" spans="1:10" ht="23.25" x14ac:dyDescent="0.35">
      <c r="B2" s="1"/>
      <c r="C2" s="1"/>
      <c r="D2" s="2"/>
      <c r="E2" s="3"/>
      <c r="F2" s="3"/>
      <c r="G2" s="3"/>
      <c r="H2" s="3"/>
      <c r="I2" s="3"/>
      <c r="J2" s="3"/>
    </row>
    <row r="3" spans="1:10" x14ac:dyDescent="0.25">
      <c r="A3" s="27" t="s">
        <v>0</v>
      </c>
      <c r="B3" s="26" t="s">
        <v>1</v>
      </c>
      <c r="C3" s="169" t="s">
        <v>77</v>
      </c>
      <c r="D3" s="27" t="s">
        <v>89</v>
      </c>
      <c r="E3" s="27" t="s">
        <v>112</v>
      </c>
      <c r="F3" s="27" t="s">
        <v>136</v>
      </c>
      <c r="G3" s="27" t="s">
        <v>108</v>
      </c>
      <c r="H3" s="27" t="s">
        <v>138</v>
      </c>
      <c r="I3" s="27" t="s">
        <v>128</v>
      </c>
      <c r="J3" s="27" t="s">
        <v>160</v>
      </c>
    </row>
    <row r="4" spans="1:10" x14ac:dyDescent="0.25">
      <c r="A4" s="13">
        <v>3110</v>
      </c>
      <c r="B4" s="13" t="s">
        <v>2</v>
      </c>
      <c r="C4" s="170"/>
      <c r="D4" s="138"/>
      <c r="E4" s="138"/>
      <c r="F4" s="138"/>
      <c r="G4" s="28"/>
      <c r="H4" s="138"/>
      <c r="I4" s="138"/>
      <c r="J4" s="138"/>
    </row>
    <row r="5" spans="1:10" x14ac:dyDescent="0.25">
      <c r="A5" s="13">
        <v>3115</v>
      </c>
      <c r="B5" s="13" t="s">
        <v>3</v>
      </c>
      <c r="C5" s="170"/>
      <c r="D5" s="138"/>
      <c r="E5" s="138"/>
      <c r="F5" s="138"/>
      <c r="G5" s="28"/>
      <c r="H5" s="138"/>
      <c r="I5" s="138"/>
      <c r="J5" s="138"/>
    </row>
    <row r="6" spans="1:10" x14ac:dyDescent="0.25">
      <c r="A6" s="13">
        <v>3400</v>
      </c>
      <c r="B6" s="13" t="s">
        <v>4</v>
      </c>
      <c r="D6" s="138"/>
      <c r="E6" s="138"/>
      <c r="F6" s="138">
        <v>137500</v>
      </c>
      <c r="G6" s="28"/>
      <c r="H6" s="138"/>
      <c r="I6" s="138"/>
      <c r="J6" s="138"/>
    </row>
    <row r="7" spans="1:10" x14ac:dyDescent="0.25">
      <c r="A7" s="13">
        <v>3440</v>
      </c>
      <c r="B7" s="13" t="s">
        <v>55</v>
      </c>
      <c r="C7" s="170"/>
      <c r="D7" s="138">
        <v>22922.02</v>
      </c>
      <c r="E7" s="138">
        <v>5397</v>
      </c>
      <c r="F7" s="138">
        <v>6184.51</v>
      </c>
      <c r="G7" s="28">
        <v>6000</v>
      </c>
      <c r="H7" s="219">
        <v>8107.48</v>
      </c>
      <c r="I7" s="138">
        <v>6200</v>
      </c>
      <c r="J7" s="138">
        <v>8500</v>
      </c>
    </row>
    <row r="8" spans="1:10" x14ac:dyDescent="0.25">
      <c r="A8" s="13">
        <v>3605</v>
      </c>
      <c r="B8" s="13" t="s">
        <v>5</v>
      </c>
      <c r="C8" s="170"/>
      <c r="D8" s="138">
        <v>10050</v>
      </c>
      <c r="E8" s="138">
        <v>13950</v>
      </c>
      <c r="F8" s="138">
        <f>5550+950+950</f>
        <v>7450</v>
      </c>
      <c r="G8" s="28">
        <v>13000</v>
      </c>
      <c r="H8" s="138">
        <v>9000</v>
      </c>
      <c r="I8" s="138">
        <v>10000</v>
      </c>
      <c r="J8" s="138">
        <v>10000</v>
      </c>
    </row>
    <row r="9" spans="1:10" x14ac:dyDescent="0.25">
      <c r="A9" s="13">
        <v>3620</v>
      </c>
      <c r="B9" s="23" t="s">
        <v>91</v>
      </c>
      <c r="C9" s="172"/>
      <c r="D9" s="138"/>
      <c r="E9" s="138"/>
      <c r="F9" s="138"/>
      <c r="G9" s="28"/>
      <c r="H9" s="138"/>
      <c r="I9" s="138"/>
      <c r="J9" s="138"/>
    </row>
    <row r="10" spans="1:10" x14ac:dyDescent="0.25">
      <c r="A10" s="13">
        <v>3920</v>
      </c>
      <c r="B10" s="13" t="s">
        <v>6</v>
      </c>
      <c r="C10" s="170"/>
      <c r="D10" s="138"/>
      <c r="E10" s="138"/>
      <c r="F10" s="138"/>
      <c r="G10" s="28"/>
      <c r="H10" s="138"/>
      <c r="I10" s="138"/>
      <c r="J10" s="138"/>
    </row>
    <row r="11" spans="1:10" x14ac:dyDescent="0.25">
      <c r="A11" s="13">
        <v>3925</v>
      </c>
      <c r="B11" s="13" t="s">
        <v>7</v>
      </c>
      <c r="C11" s="170"/>
      <c r="D11" s="138"/>
      <c r="E11" s="138"/>
      <c r="F11" s="138"/>
      <c r="G11" s="28"/>
      <c r="H11" s="138"/>
      <c r="I11" s="138"/>
      <c r="J11" s="138"/>
    </row>
    <row r="12" spans="1:10" x14ac:dyDescent="0.25">
      <c r="A12" s="13">
        <v>3926</v>
      </c>
      <c r="B12" s="23" t="s">
        <v>13</v>
      </c>
      <c r="C12" s="172"/>
      <c r="D12" s="170"/>
      <c r="E12" s="138"/>
      <c r="F12" s="138"/>
      <c r="G12" s="28"/>
      <c r="H12" s="138"/>
      <c r="I12" s="138"/>
      <c r="J12" s="138"/>
    </row>
    <row r="13" spans="1:10" x14ac:dyDescent="0.25">
      <c r="A13" s="13">
        <v>3950</v>
      </c>
      <c r="B13" s="13" t="s">
        <v>9</v>
      </c>
      <c r="C13" s="170"/>
      <c r="D13" s="138"/>
      <c r="E13" s="138"/>
      <c r="F13" s="138"/>
      <c r="G13" s="28"/>
      <c r="H13" s="138"/>
      <c r="I13" s="138"/>
      <c r="J13" s="138"/>
    </row>
    <row r="14" spans="1:10" x14ac:dyDescent="0.25">
      <c r="A14" s="13">
        <v>3970</v>
      </c>
      <c r="B14" s="13" t="s">
        <v>10</v>
      </c>
      <c r="C14" s="170"/>
      <c r="D14" s="138"/>
      <c r="E14" s="138"/>
      <c r="F14" s="138"/>
      <c r="G14" s="28"/>
      <c r="H14" s="138"/>
      <c r="I14" s="138"/>
      <c r="J14" s="138"/>
    </row>
    <row r="15" spans="1:10" x14ac:dyDescent="0.25">
      <c r="A15" s="13">
        <v>3975</v>
      </c>
      <c r="B15" s="13" t="s">
        <v>11</v>
      </c>
      <c r="C15" s="170"/>
      <c r="D15" s="138"/>
      <c r="E15" s="138"/>
      <c r="F15" s="138"/>
      <c r="G15" s="28"/>
      <c r="H15" s="138"/>
      <c r="I15" s="138"/>
      <c r="J15" s="138"/>
    </row>
    <row r="16" spans="1:10" x14ac:dyDescent="0.25">
      <c r="A16" s="13">
        <v>3980</v>
      </c>
      <c r="B16" s="13" t="s">
        <v>12</v>
      </c>
      <c r="C16" s="170"/>
      <c r="D16" s="138"/>
      <c r="E16" s="138"/>
      <c r="F16" s="138"/>
      <c r="G16" s="28"/>
      <c r="H16" s="138"/>
      <c r="I16" s="138"/>
      <c r="J16" s="138"/>
    </row>
    <row r="17" spans="1:11" x14ac:dyDescent="0.25">
      <c r="A17" s="13">
        <v>3990</v>
      </c>
      <c r="B17" s="23" t="s">
        <v>8</v>
      </c>
      <c r="C17" s="172"/>
      <c r="D17" s="138"/>
      <c r="E17" s="138"/>
      <c r="F17" s="138"/>
      <c r="G17" s="28"/>
      <c r="H17" s="138"/>
      <c r="I17" s="138"/>
      <c r="J17" s="138"/>
    </row>
    <row r="18" spans="1:11" x14ac:dyDescent="0.25">
      <c r="A18" s="13"/>
      <c r="B18" s="30" t="s">
        <v>14</v>
      </c>
      <c r="C18" s="173"/>
      <c r="D18" s="140">
        <f t="shared" ref="D18:J18" si="0">SUM(D4:D17)</f>
        <v>32972.020000000004</v>
      </c>
      <c r="E18" s="140">
        <f t="shared" si="0"/>
        <v>19347</v>
      </c>
      <c r="F18" s="140">
        <f t="shared" si="0"/>
        <v>151134.51</v>
      </c>
      <c r="G18" s="31">
        <f>SUM(G4:G17)</f>
        <v>19000</v>
      </c>
      <c r="H18" s="140">
        <f t="shared" si="0"/>
        <v>17107.48</v>
      </c>
      <c r="I18" s="140">
        <f t="shared" si="0"/>
        <v>16200</v>
      </c>
      <c r="J18" s="140">
        <f t="shared" si="0"/>
        <v>18500</v>
      </c>
    </row>
    <row r="19" spans="1:11" x14ac:dyDescent="0.25">
      <c r="A19" s="13"/>
      <c r="B19" s="12" t="s">
        <v>15</v>
      </c>
      <c r="C19" s="174"/>
      <c r="D19" s="135"/>
      <c r="E19" s="135"/>
      <c r="F19" s="135"/>
      <c r="G19" s="22"/>
      <c r="H19" s="135"/>
      <c r="I19" s="135"/>
      <c r="J19" s="135"/>
    </row>
    <row r="20" spans="1:11" x14ac:dyDescent="0.25">
      <c r="A20" s="13">
        <v>4210</v>
      </c>
      <c r="B20" s="13" t="s">
        <v>16</v>
      </c>
      <c r="C20" s="170"/>
      <c r="D20" s="135"/>
      <c r="E20" s="135"/>
      <c r="F20" s="135"/>
      <c r="G20" s="22"/>
      <c r="H20" s="135"/>
      <c r="I20" s="135"/>
      <c r="J20" s="135"/>
    </row>
    <row r="21" spans="1:11" x14ac:dyDescent="0.25">
      <c r="A21" s="13">
        <v>4220</v>
      </c>
      <c r="B21" s="13" t="s">
        <v>17</v>
      </c>
      <c r="C21" s="170"/>
      <c r="D21" s="135"/>
      <c r="E21" s="135"/>
      <c r="F21" s="135"/>
      <c r="G21" s="22"/>
      <c r="H21" s="135"/>
      <c r="I21" s="135"/>
      <c r="J21" s="135"/>
    </row>
    <row r="22" spans="1:11" x14ac:dyDescent="0.25">
      <c r="A22" s="13">
        <v>4225</v>
      </c>
      <c r="B22" s="13" t="s">
        <v>19</v>
      </c>
      <c r="C22" s="170"/>
      <c r="D22" s="135"/>
      <c r="E22" s="135"/>
      <c r="F22" s="135"/>
      <c r="G22" s="22"/>
      <c r="H22" s="135"/>
      <c r="I22" s="135"/>
      <c r="J22" s="135"/>
    </row>
    <row r="23" spans="1:11" x14ac:dyDescent="0.25">
      <c r="A23" s="13">
        <v>4300</v>
      </c>
      <c r="B23" s="13" t="s">
        <v>18</v>
      </c>
      <c r="C23" s="170"/>
      <c r="D23" s="135"/>
      <c r="E23" s="135"/>
      <c r="F23" s="135"/>
      <c r="G23" s="22"/>
      <c r="H23" s="135">
        <f>1607.85-1608</f>
        <v>-0.15000000000009095</v>
      </c>
      <c r="I23" s="135"/>
      <c r="J23" s="135"/>
    </row>
    <row r="24" spans="1:11" x14ac:dyDescent="0.25">
      <c r="A24" s="13">
        <v>5000</v>
      </c>
      <c r="B24" s="13" t="s">
        <v>20</v>
      </c>
      <c r="C24" s="170"/>
      <c r="D24" s="135"/>
      <c r="E24" s="135"/>
      <c r="F24" s="135"/>
      <c r="G24" s="22"/>
      <c r="H24" s="135"/>
      <c r="I24" s="135"/>
      <c r="J24" s="135"/>
    </row>
    <row r="25" spans="1:11" x14ac:dyDescent="0.25">
      <c r="A25" s="13">
        <v>6315</v>
      </c>
      <c r="B25" s="13" t="s">
        <v>22</v>
      </c>
      <c r="C25" s="170"/>
      <c r="D25" s="135"/>
      <c r="E25" s="135">
        <v>3369</v>
      </c>
      <c r="F25" s="123">
        <v>3489.84</v>
      </c>
      <c r="G25" s="22">
        <v>3000</v>
      </c>
      <c r="H25" s="123">
        <v>5807.36</v>
      </c>
      <c r="I25" s="135">
        <v>3500</v>
      </c>
      <c r="J25" s="135">
        <v>5000</v>
      </c>
    </row>
    <row r="26" spans="1:11" x14ac:dyDescent="0.25">
      <c r="A26" s="13">
        <v>6316</v>
      </c>
      <c r="B26" s="13" t="s">
        <v>39</v>
      </c>
      <c r="C26" s="170"/>
      <c r="D26" s="135"/>
      <c r="E26" s="135"/>
      <c r="F26" s="123">
        <v>3125</v>
      </c>
      <c r="G26" s="22"/>
      <c r="H26" s="123"/>
      <c r="I26" s="135"/>
      <c r="J26" s="135"/>
    </row>
    <row r="27" spans="1:11" x14ac:dyDescent="0.25">
      <c r="A27" s="13">
        <v>6320</v>
      </c>
      <c r="B27" s="13" t="s">
        <v>23</v>
      </c>
      <c r="C27" s="170"/>
      <c r="D27" s="135">
        <v>8848</v>
      </c>
      <c r="E27" s="135">
        <v>10887</v>
      </c>
      <c r="F27" s="123">
        <v>10554</v>
      </c>
      <c r="G27" s="22">
        <v>11000</v>
      </c>
      <c r="H27" s="123">
        <v>7741</v>
      </c>
      <c r="I27" s="135">
        <v>11000</v>
      </c>
      <c r="J27" s="135">
        <v>9000</v>
      </c>
    </row>
    <row r="28" spans="1:11" x14ac:dyDescent="0.25">
      <c r="A28" s="13">
        <v>6340</v>
      </c>
      <c r="B28" s="13" t="s">
        <v>41</v>
      </c>
      <c r="C28" s="170"/>
      <c r="D28" s="135">
        <v>38498</v>
      </c>
      <c r="E28" s="135">
        <f>38860+6345</f>
        <v>45205</v>
      </c>
      <c r="F28" s="123">
        <v>46777.79</v>
      </c>
      <c r="G28" s="22">
        <v>43000</v>
      </c>
      <c r="H28" s="123">
        <v>50705.91</v>
      </c>
      <c r="I28" s="135">
        <v>47000</v>
      </c>
      <c r="J28" s="135">
        <v>51000</v>
      </c>
    </row>
    <row r="29" spans="1:11" x14ac:dyDescent="0.25">
      <c r="A29" s="13">
        <v>6340</v>
      </c>
      <c r="B29" s="13" t="s">
        <v>42</v>
      </c>
      <c r="C29" s="170"/>
      <c r="D29" s="135">
        <v>6725</v>
      </c>
      <c r="E29" s="135">
        <v>6998</v>
      </c>
      <c r="F29" s="123">
        <v>7155</v>
      </c>
      <c r="G29" s="22">
        <v>7000</v>
      </c>
      <c r="H29" s="123">
        <v>9736.6200000000008</v>
      </c>
      <c r="I29" s="135">
        <v>7200</v>
      </c>
      <c r="J29" s="135">
        <v>10000</v>
      </c>
    </row>
    <row r="30" spans="1:11" x14ac:dyDescent="0.25">
      <c r="A30" s="13">
        <v>6550</v>
      </c>
      <c r="B30" s="13" t="s">
        <v>40</v>
      </c>
      <c r="C30" s="170"/>
      <c r="D30" s="135">
        <v>3447.43</v>
      </c>
      <c r="E30" s="135">
        <v>7837</v>
      </c>
      <c r="F30" s="123"/>
      <c r="G30" s="22">
        <v>30000</v>
      </c>
      <c r="H30" s="123">
        <v>3181.05</v>
      </c>
      <c r="I30" s="135"/>
      <c r="J30" s="135"/>
    </row>
    <row r="31" spans="1:11" x14ac:dyDescent="0.25">
      <c r="A31" s="13">
        <v>6600</v>
      </c>
      <c r="B31" s="9" t="s">
        <v>24</v>
      </c>
      <c r="C31" s="180"/>
      <c r="D31" s="135"/>
      <c r="E31" s="135">
        <v>13244</v>
      </c>
      <c r="F31" s="123">
        <v>459190.08</v>
      </c>
      <c r="G31" s="22">
        <v>250000</v>
      </c>
      <c r="H31" s="123">
        <f>33224+11412.5</f>
        <v>44636.5</v>
      </c>
      <c r="I31" s="135">
        <v>20000</v>
      </c>
      <c r="J31" s="135">
        <v>20000</v>
      </c>
      <c r="K31" t="s">
        <v>130</v>
      </c>
    </row>
    <row r="32" spans="1:11" x14ac:dyDescent="0.25">
      <c r="A32" s="13">
        <v>6620</v>
      </c>
      <c r="B32" s="13" t="s">
        <v>25</v>
      </c>
      <c r="C32" s="170"/>
      <c r="D32" s="135">
        <v>24088</v>
      </c>
      <c r="E32" s="135">
        <v>20148</v>
      </c>
      <c r="F32" s="123"/>
      <c r="G32" s="22">
        <v>20000</v>
      </c>
      <c r="H32" s="123"/>
      <c r="I32" s="135">
        <v>10000</v>
      </c>
      <c r="J32" s="135"/>
    </row>
    <row r="33" spans="1:10" x14ac:dyDescent="0.25">
      <c r="A33" s="13">
        <v>6630</v>
      </c>
      <c r="B33" s="13" t="s">
        <v>47</v>
      </c>
      <c r="C33" s="170"/>
      <c r="D33" s="135"/>
      <c r="E33" s="135">
        <v>935</v>
      </c>
      <c r="F33" s="123">
        <v>10010</v>
      </c>
      <c r="G33" s="22">
        <v>1000</v>
      </c>
      <c r="H33" s="123">
        <v>2306</v>
      </c>
      <c r="I33" s="135">
        <v>10000</v>
      </c>
      <c r="J33" s="135">
        <v>5000</v>
      </c>
    </row>
    <row r="34" spans="1:10" x14ac:dyDescent="0.25">
      <c r="A34" s="13">
        <v>6705</v>
      </c>
      <c r="B34" s="23" t="s">
        <v>28</v>
      </c>
      <c r="C34" s="172"/>
      <c r="D34" s="135"/>
      <c r="E34" s="135"/>
      <c r="F34" s="123"/>
      <c r="G34" s="22"/>
      <c r="H34" s="123"/>
      <c r="I34" s="135"/>
      <c r="J34" s="135"/>
    </row>
    <row r="35" spans="1:10" x14ac:dyDescent="0.25">
      <c r="A35" s="13">
        <v>6800</v>
      </c>
      <c r="B35" s="13" t="s">
        <v>43</v>
      </c>
      <c r="C35" s="170"/>
      <c r="D35" s="135"/>
      <c r="E35" s="135"/>
      <c r="F35" s="123"/>
      <c r="G35" s="22"/>
      <c r="H35" s="123"/>
      <c r="I35" s="135"/>
      <c r="J35" s="135"/>
    </row>
    <row r="36" spans="1:10" x14ac:dyDescent="0.25">
      <c r="A36" s="13">
        <v>6840</v>
      </c>
      <c r="B36" s="13" t="s">
        <v>26</v>
      </c>
      <c r="C36" s="170"/>
      <c r="D36" s="135"/>
      <c r="E36" s="135"/>
      <c r="F36" s="123"/>
      <c r="G36" s="22"/>
      <c r="H36" s="123"/>
      <c r="I36" s="135"/>
      <c r="J36" s="135"/>
    </row>
    <row r="37" spans="1:10" x14ac:dyDescent="0.25">
      <c r="A37" s="13">
        <v>6860</v>
      </c>
      <c r="B37" s="13" t="s">
        <v>27</v>
      </c>
      <c r="C37" s="170"/>
      <c r="D37" s="135"/>
      <c r="E37" s="135"/>
      <c r="F37" s="123"/>
      <c r="G37" s="22"/>
      <c r="H37" s="123"/>
      <c r="I37" s="135"/>
      <c r="J37" s="135"/>
    </row>
    <row r="38" spans="1:10" x14ac:dyDescent="0.25">
      <c r="A38" s="13">
        <v>6900</v>
      </c>
      <c r="B38" s="23" t="s">
        <v>44</v>
      </c>
      <c r="C38" s="172"/>
      <c r="D38" s="135"/>
      <c r="E38" s="135"/>
      <c r="F38" s="123"/>
      <c r="G38" s="22"/>
      <c r="H38" s="123"/>
      <c r="I38" s="135"/>
      <c r="J38" s="135"/>
    </row>
    <row r="39" spans="1:10" x14ac:dyDescent="0.25">
      <c r="A39" s="13">
        <v>6940</v>
      </c>
      <c r="B39" s="13" t="s">
        <v>29</v>
      </c>
      <c r="C39" s="170"/>
      <c r="D39" s="135"/>
      <c r="E39" s="135"/>
      <c r="F39" s="123"/>
      <c r="G39" s="22"/>
      <c r="H39" s="123"/>
      <c r="I39" s="135"/>
      <c r="J39" s="135"/>
    </row>
    <row r="40" spans="1:10" x14ac:dyDescent="0.25">
      <c r="A40" s="13">
        <v>7000</v>
      </c>
      <c r="B40" s="13" t="s">
        <v>48</v>
      </c>
      <c r="C40" s="170"/>
      <c r="D40" s="135"/>
      <c r="E40" s="135"/>
      <c r="F40" s="123"/>
      <c r="G40" s="22"/>
      <c r="H40" s="123"/>
      <c r="I40" s="135"/>
      <c r="J40" s="135"/>
    </row>
    <row r="41" spans="1:10" x14ac:dyDescent="0.25">
      <c r="A41" s="13">
        <v>7140</v>
      </c>
      <c r="B41" s="13" t="s">
        <v>45</v>
      </c>
      <c r="C41" s="170"/>
      <c r="D41" s="135"/>
      <c r="E41" s="135"/>
      <c r="F41" s="123"/>
      <c r="G41" s="22"/>
      <c r="H41" s="123"/>
      <c r="I41" s="135"/>
      <c r="J41" s="135"/>
    </row>
    <row r="42" spans="1:10" x14ac:dyDescent="0.25">
      <c r="A42" s="13">
        <v>7320</v>
      </c>
      <c r="B42" s="23" t="s">
        <v>30</v>
      </c>
      <c r="C42" s="172"/>
      <c r="D42" s="135"/>
      <c r="E42" s="135"/>
      <c r="F42" s="123"/>
      <c r="G42" s="22"/>
      <c r="H42" s="123"/>
      <c r="I42" s="135"/>
      <c r="J42" s="135"/>
    </row>
    <row r="43" spans="1:10" x14ac:dyDescent="0.25">
      <c r="A43" s="13">
        <v>7400</v>
      </c>
      <c r="B43" s="13" t="s">
        <v>31</v>
      </c>
      <c r="C43" s="170"/>
      <c r="D43" s="135"/>
      <c r="E43" s="135"/>
      <c r="F43" s="123"/>
      <c r="G43" s="22"/>
      <c r="H43" s="123"/>
      <c r="I43" s="135"/>
      <c r="J43" s="135"/>
    </row>
    <row r="44" spans="1:10" x14ac:dyDescent="0.25">
      <c r="A44" s="13">
        <v>7420</v>
      </c>
      <c r="B44" s="13" t="s">
        <v>12</v>
      </c>
      <c r="C44" s="170"/>
      <c r="D44" s="135"/>
      <c r="E44" s="135"/>
      <c r="F44" s="123"/>
      <c r="G44" s="22"/>
      <c r="H44" s="123"/>
      <c r="I44" s="135"/>
      <c r="J44" s="135"/>
    </row>
    <row r="45" spans="1:10" x14ac:dyDescent="0.25">
      <c r="A45" s="13">
        <v>7500</v>
      </c>
      <c r="B45" s="13" t="s">
        <v>21</v>
      </c>
      <c r="C45" s="170"/>
      <c r="D45" s="135"/>
      <c r="E45" s="135"/>
      <c r="F45" s="123"/>
      <c r="G45" s="22"/>
      <c r="H45" s="123">
        <f>33972-16986-16986</f>
        <v>0</v>
      </c>
      <c r="I45" s="135"/>
      <c r="J45" s="135"/>
    </row>
    <row r="46" spans="1:10" s="144" customFormat="1" x14ac:dyDescent="0.25">
      <c r="A46" s="13">
        <v>7745</v>
      </c>
      <c r="B46" s="13" t="s">
        <v>92</v>
      </c>
      <c r="C46" s="170"/>
      <c r="D46" s="135"/>
      <c r="E46" s="135"/>
      <c r="F46" s="123"/>
      <c r="G46" s="135"/>
      <c r="H46" s="123"/>
      <c r="I46" s="135"/>
      <c r="J46" s="135"/>
    </row>
    <row r="47" spans="1:10" x14ac:dyDescent="0.25">
      <c r="A47" s="13">
        <v>7750</v>
      </c>
      <c r="B47" s="13" t="s">
        <v>32</v>
      </c>
      <c r="C47" s="170"/>
      <c r="D47" s="135"/>
      <c r="E47" s="135"/>
      <c r="F47" s="123"/>
      <c r="G47" s="22"/>
      <c r="H47" s="123"/>
      <c r="I47" s="135"/>
      <c r="J47" s="135"/>
    </row>
    <row r="48" spans="1:10" x14ac:dyDescent="0.25">
      <c r="A48" s="13">
        <v>7755</v>
      </c>
      <c r="B48" s="13" t="s">
        <v>33</v>
      </c>
      <c r="C48" s="170"/>
      <c r="D48" s="135"/>
      <c r="E48" s="135"/>
      <c r="F48" s="123"/>
      <c r="G48" s="22"/>
      <c r="H48" s="123"/>
      <c r="I48" s="135"/>
      <c r="J48" s="135"/>
    </row>
    <row r="49" spans="1:10" x14ac:dyDescent="0.25">
      <c r="A49" s="13">
        <v>7770</v>
      </c>
      <c r="B49" s="13" t="s">
        <v>46</v>
      </c>
      <c r="C49" s="170"/>
      <c r="D49" s="135"/>
      <c r="E49" s="135"/>
      <c r="F49" s="123"/>
      <c r="G49" s="22"/>
      <c r="H49" s="123"/>
      <c r="I49" s="135"/>
      <c r="J49" s="135"/>
    </row>
    <row r="50" spans="1:10" x14ac:dyDescent="0.25">
      <c r="A50" s="13">
        <v>7790</v>
      </c>
      <c r="B50" s="13" t="s">
        <v>34</v>
      </c>
      <c r="C50" s="170"/>
      <c r="D50" s="135"/>
      <c r="E50" s="135"/>
      <c r="F50" s="123"/>
      <c r="G50" s="22"/>
      <c r="H50" s="123"/>
      <c r="I50" s="135"/>
      <c r="J50" s="135"/>
    </row>
    <row r="51" spans="1:10" x14ac:dyDescent="0.25">
      <c r="A51" s="13">
        <v>6010</v>
      </c>
      <c r="B51" s="23" t="s">
        <v>35</v>
      </c>
      <c r="C51" s="172"/>
      <c r="D51" s="135"/>
      <c r="E51" s="135"/>
      <c r="F51" s="123"/>
      <c r="G51" s="22"/>
      <c r="H51" s="123"/>
      <c r="I51" s="135"/>
      <c r="J51" s="135"/>
    </row>
    <row r="52" spans="1:10" x14ac:dyDescent="0.25">
      <c r="A52" s="13"/>
      <c r="B52" s="26" t="s">
        <v>36</v>
      </c>
      <c r="C52" s="169"/>
      <c r="D52" s="141">
        <f>SUM(D20:D51)</f>
        <v>81606.429999999993</v>
      </c>
      <c r="E52" s="141">
        <f t="shared" ref="E52:J52" si="1">SUM(E19:E51)</f>
        <v>108623</v>
      </c>
      <c r="F52" s="141">
        <f t="shared" si="1"/>
        <v>540301.71</v>
      </c>
      <c r="G52" s="32">
        <f>SUM(G19:G51)</f>
        <v>365000</v>
      </c>
      <c r="H52" s="141">
        <f t="shared" si="1"/>
        <v>124114.29000000001</v>
      </c>
      <c r="I52" s="141">
        <f t="shared" si="1"/>
        <v>108700</v>
      </c>
      <c r="J52" s="141">
        <f t="shared" si="1"/>
        <v>100000</v>
      </c>
    </row>
    <row r="53" spans="1:10" x14ac:dyDescent="0.25">
      <c r="A53" s="13"/>
      <c r="B53" s="33"/>
      <c r="C53" s="175"/>
      <c r="D53" s="139"/>
      <c r="E53" s="139"/>
      <c r="F53" s="139"/>
      <c r="G53" s="29"/>
      <c r="H53" s="139"/>
      <c r="I53" s="139"/>
      <c r="J53" s="139"/>
    </row>
    <row r="54" spans="1:10" x14ac:dyDescent="0.25">
      <c r="A54" s="13"/>
      <c r="B54" s="26" t="s">
        <v>38</v>
      </c>
      <c r="C54" s="169"/>
      <c r="D54" s="141">
        <f>(D18-D52)</f>
        <v>-48634.409999999989</v>
      </c>
      <c r="E54" s="141">
        <f t="shared" ref="E54:J54" si="2">E18-E52</f>
        <v>-89276</v>
      </c>
      <c r="F54" s="141">
        <f t="shared" si="2"/>
        <v>-389167.19999999995</v>
      </c>
      <c r="G54" s="32">
        <f t="shared" si="2"/>
        <v>-346000</v>
      </c>
      <c r="H54" s="141">
        <f t="shared" si="2"/>
        <v>-107006.81000000001</v>
      </c>
      <c r="I54" s="141">
        <f t="shared" si="2"/>
        <v>-92500</v>
      </c>
      <c r="J54" s="141">
        <f t="shared" si="2"/>
        <v>-81500</v>
      </c>
    </row>
    <row r="55" spans="1:10" x14ac:dyDescent="0.25">
      <c r="A55" s="23"/>
      <c r="B55" s="23"/>
      <c r="C55" s="172"/>
      <c r="D55" s="136"/>
      <c r="E55" s="136"/>
      <c r="F55" s="136"/>
      <c r="G55" s="23"/>
      <c r="H55" s="136"/>
      <c r="I55" s="136"/>
      <c r="J55" s="136"/>
    </row>
    <row r="56" spans="1:10" x14ac:dyDescent="0.25">
      <c r="A56" s="23"/>
      <c r="B56" s="24" t="s">
        <v>49</v>
      </c>
      <c r="C56" s="176"/>
      <c r="D56" s="137"/>
      <c r="E56" s="137"/>
      <c r="F56" s="137"/>
      <c r="G56" s="25"/>
      <c r="H56" s="137"/>
      <c r="I56" s="137"/>
      <c r="J56" s="137"/>
    </row>
    <row r="57" spans="1:10" x14ac:dyDescent="0.25">
      <c r="A57" s="23"/>
      <c r="B57" s="23" t="s">
        <v>50</v>
      </c>
      <c r="C57" s="172"/>
      <c r="D57" s="137"/>
      <c r="E57" s="137"/>
      <c r="F57" s="137"/>
      <c r="G57" s="25"/>
      <c r="H57" s="137"/>
      <c r="I57" s="137"/>
      <c r="J57" s="137"/>
    </row>
    <row r="58" spans="1:10" x14ac:dyDescent="0.25">
      <c r="A58" s="23"/>
      <c r="B58" s="23" t="s">
        <v>52</v>
      </c>
      <c r="C58" s="172"/>
      <c r="D58" s="137"/>
      <c r="E58" s="137"/>
      <c r="F58" s="137"/>
      <c r="G58" s="25"/>
      <c r="H58" s="137"/>
      <c r="I58" s="137"/>
      <c r="J58" s="137"/>
    </row>
    <row r="59" spans="1:10" x14ac:dyDescent="0.25">
      <c r="A59" s="23"/>
      <c r="B59" s="34" t="s">
        <v>53</v>
      </c>
      <c r="C59" s="177"/>
      <c r="D59" s="142">
        <f t="shared" ref="D59:E59" si="3">D57-D58</f>
        <v>0</v>
      </c>
      <c r="E59" s="142">
        <f t="shared" si="3"/>
        <v>0</v>
      </c>
      <c r="F59" s="142">
        <f t="shared" ref="F59" si="4">F57-F58</f>
        <v>0</v>
      </c>
      <c r="G59" s="35">
        <f>G57-G58</f>
        <v>0</v>
      </c>
      <c r="H59" s="142"/>
      <c r="I59" s="142">
        <f t="shared" ref="I59:J59" si="5">I57-I58</f>
        <v>0</v>
      </c>
      <c r="J59" s="142">
        <f t="shared" si="5"/>
        <v>0</v>
      </c>
    </row>
    <row r="60" spans="1:10" x14ac:dyDescent="0.25">
      <c r="A60" s="23"/>
      <c r="B60" s="23"/>
      <c r="C60" s="172"/>
      <c r="D60" s="137"/>
      <c r="E60" s="137"/>
      <c r="F60" s="137"/>
      <c r="G60" s="25"/>
      <c r="H60" s="137"/>
      <c r="I60" s="137"/>
      <c r="J60" s="137"/>
    </row>
    <row r="61" spans="1:10" x14ac:dyDescent="0.25">
      <c r="A61" s="23"/>
      <c r="B61" s="36" t="s">
        <v>37</v>
      </c>
      <c r="C61" s="178"/>
      <c r="D61" s="143">
        <f t="shared" ref="D61:E61" si="6">D54+D59</f>
        <v>-48634.409999999989</v>
      </c>
      <c r="E61" s="143">
        <f t="shared" si="6"/>
        <v>-89276</v>
      </c>
      <c r="F61" s="143">
        <f t="shared" ref="F61:H61" si="7">F54+F59</f>
        <v>-389167.19999999995</v>
      </c>
      <c r="G61" s="37">
        <f>G54+G59</f>
        <v>-346000</v>
      </c>
      <c r="H61" s="143">
        <f t="shared" si="7"/>
        <v>-107006.81000000001</v>
      </c>
      <c r="I61" s="143">
        <f t="shared" ref="I61:J61" si="8">I54+I59</f>
        <v>-92500</v>
      </c>
      <c r="J61" s="143">
        <f t="shared" si="8"/>
        <v>-81500</v>
      </c>
    </row>
  </sheetData>
  <pageMargins left="0.7" right="0.7" top="0.75" bottom="0.75" header="0.3" footer="0.3"/>
  <pageSetup paperSize="9" scale="7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workbookViewId="0">
      <pane xSplit="2" ySplit="3" topLeftCell="C6" activePane="bottomRight" state="frozen"/>
      <selection pane="topRight" activeCell="C1" sqref="C1"/>
      <selection pane="bottomLeft" activeCell="A4" sqref="A4"/>
      <selection pane="bottomRight" activeCell="J30" sqref="J30"/>
    </sheetView>
  </sheetViews>
  <sheetFormatPr baseColWidth="10" defaultRowHeight="15" x14ac:dyDescent="0.25"/>
  <cols>
    <col min="1" max="1" width="7.42578125" customWidth="1"/>
    <col min="2" max="2" width="27.7109375" customWidth="1"/>
    <col min="3" max="3" width="8.140625" style="144" customWidth="1"/>
    <col min="4" max="4" width="14.5703125" bestFit="1" customWidth="1"/>
    <col min="5" max="5" width="15.7109375" customWidth="1"/>
    <col min="6" max="6" width="15.7109375" bestFit="1" customWidth="1"/>
    <col min="7" max="7" width="13.28515625" bestFit="1" customWidth="1"/>
    <col min="8" max="8" width="15.7109375" style="144" customWidth="1"/>
    <col min="9" max="10" width="13.28515625" style="144" customWidth="1"/>
  </cols>
  <sheetData>
    <row r="1" spans="1:10" ht="23.25" x14ac:dyDescent="0.35">
      <c r="B1" s="1" t="s">
        <v>146</v>
      </c>
      <c r="C1" s="1"/>
      <c r="D1" s="2"/>
      <c r="E1" s="3"/>
      <c r="F1" s="3"/>
      <c r="G1" s="3"/>
      <c r="H1" s="3"/>
      <c r="I1" s="3"/>
      <c r="J1" s="3"/>
    </row>
    <row r="2" spans="1:10" ht="23.25" x14ac:dyDescent="0.35">
      <c r="B2" s="1"/>
      <c r="C2" s="1"/>
      <c r="D2" s="2"/>
      <c r="E2" s="3"/>
      <c r="F2" s="3"/>
      <c r="G2" s="3"/>
      <c r="H2" s="3"/>
      <c r="I2" s="3"/>
      <c r="J2" s="3"/>
    </row>
    <row r="3" spans="1:10" x14ac:dyDescent="0.25">
      <c r="A3" s="27" t="s">
        <v>0</v>
      </c>
      <c r="B3" s="26" t="s">
        <v>1</v>
      </c>
      <c r="C3" s="169" t="s">
        <v>77</v>
      </c>
      <c r="D3" s="27" t="s">
        <v>89</v>
      </c>
      <c r="E3" s="27" t="s">
        <v>112</v>
      </c>
      <c r="F3" s="27" t="s">
        <v>136</v>
      </c>
      <c r="G3" s="27" t="s">
        <v>108</v>
      </c>
      <c r="H3" s="27" t="s">
        <v>138</v>
      </c>
      <c r="I3" s="27" t="s">
        <v>128</v>
      </c>
      <c r="J3" s="27" t="s">
        <v>160</v>
      </c>
    </row>
    <row r="4" spans="1:10" x14ac:dyDescent="0.25">
      <c r="A4" s="13">
        <v>3110</v>
      </c>
      <c r="B4" s="13" t="s">
        <v>2</v>
      </c>
      <c r="C4" s="170"/>
      <c r="D4" s="138"/>
      <c r="E4" s="138"/>
      <c r="F4" s="138"/>
      <c r="G4" s="28"/>
      <c r="H4" s="138"/>
      <c r="I4" s="138"/>
      <c r="J4" s="138"/>
    </row>
    <row r="5" spans="1:10" x14ac:dyDescent="0.25">
      <c r="A5" s="13">
        <v>3115</v>
      </c>
      <c r="B5" s="13" t="s">
        <v>3</v>
      </c>
      <c r="C5" s="170"/>
      <c r="D5" s="138"/>
      <c r="E5" s="138"/>
      <c r="F5" s="138"/>
      <c r="G5" s="28"/>
      <c r="H5" s="138"/>
      <c r="I5" s="138"/>
      <c r="J5" s="138"/>
    </row>
    <row r="6" spans="1:10" x14ac:dyDescent="0.25">
      <c r="A6" s="13">
        <v>3400</v>
      </c>
      <c r="B6" s="13" t="s">
        <v>4</v>
      </c>
      <c r="C6" s="170"/>
      <c r="D6" s="138"/>
      <c r="E6" s="138"/>
      <c r="F6" s="138"/>
      <c r="G6" s="28"/>
      <c r="H6" s="138"/>
      <c r="I6" s="138"/>
      <c r="J6" s="138"/>
    </row>
    <row r="7" spans="1:10" x14ac:dyDescent="0.25">
      <c r="A7" s="13">
        <v>3440</v>
      </c>
      <c r="B7" s="13" t="s">
        <v>55</v>
      </c>
      <c r="C7" s="170"/>
      <c r="D7" s="138"/>
      <c r="E7" s="138"/>
      <c r="F7" s="138"/>
      <c r="G7" s="28"/>
      <c r="H7" s="138"/>
      <c r="I7" s="138"/>
      <c r="J7" s="138"/>
    </row>
    <row r="8" spans="1:10" x14ac:dyDescent="0.25">
      <c r="A8" s="13">
        <v>3605</v>
      </c>
      <c r="B8" s="13" t="s">
        <v>5</v>
      </c>
      <c r="C8" s="170"/>
      <c r="D8" s="138">
        <v>5600</v>
      </c>
      <c r="E8" s="138">
        <v>9350</v>
      </c>
      <c r="F8" s="138">
        <v>5500</v>
      </c>
      <c r="G8" s="28">
        <v>8000</v>
      </c>
      <c r="H8" s="138">
        <v>-500</v>
      </c>
      <c r="I8" s="138">
        <v>7000</v>
      </c>
      <c r="J8" s="219"/>
    </row>
    <row r="9" spans="1:10" x14ac:dyDescent="0.25">
      <c r="A9" s="13">
        <v>3620</v>
      </c>
      <c r="B9" s="23" t="s">
        <v>91</v>
      </c>
      <c r="C9" s="172"/>
      <c r="D9" s="138"/>
      <c r="E9" s="138"/>
      <c r="F9" s="138"/>
      <c r="G9" s="28"/>
      <c r="H9" s="138"/>
      <c r="I9" s="138"/>
      <c r="J9" s="138"/>
    </row>
    <row r="10" spans="1:10" x14ac:dyDescent="0.25">
      <c r="A10" s="13">
        <v>3920</v>
      </c>
      <c r="B10" s="13" t="s">
        <v>6</v>
      </c>
      <c r="C10" s="170"/>
      <c r="D10" s="138"/>
      <c r="E10" s="138"/>
      <c r="F10" s="138"/>
      <c r="G10" s="28"/>
      <c r="H10" s="138"/>
      <c r="I10" s="138"/>
      <c r="J10" s="138"/>
    </row>
    <row r="11" spans="1:10" x14ac:dyDescent="0.25">
      <c r="A11" s="13">
        <v>3925</v>
      </c>
      <c r="B11" s="13" t="s">
        <v>7</v>
      </c>
      <c r="C11" s="170"/>
      <c r="D11" s="138"/>
      <c r="E11" s="138"/>
      <c r="F11" s="138"/>
      <c r="G11" s="28"/>
      <c r="H11" s="138"/>
      <c r="I11" s="138"/>
      <c r="J11" s="138"/>
    </row>
    <row r="12" spans="1:10" x14ac:dyDescent="0.25">
      <c r="A12" s="13">
        <v>3926</v>
      </c>
      <c r="B12" s="23" t="s">
        <v>13</v>
      </c>
      <c r="C12" s="172"/>
      <c r="D12" s="138"/>
      <c r="E12" s="138"/>
      <c r="F12" s="138"/>
      <c r="G12" s="28"/>
      <c r="H12" s="138"/>
      <c r="I12" s="138"/>
      <c r="J12" s="138"/>
    </row>
    <row r="13" spans="1:10" x14ac:dyDescent="0.25">
      <c r="A13" s="13">
        <v>3950</v>
      </c>
      <c r="B13" s="13" t="s">
        <v>9</v>
      </c>
      <c r="C13" s="170"/>
      <c r="D13" s="138"/>
      <c r="E13" s="138"/>
      <c r="F13" s="138"/>
      <c r="G13" s="28"/>
      <c r="H13" s="138"/>
      <c r="I13" s="138"/>
      <c r="J13" s="138"/>
    </row>
    <row r="14" spans="1:10" x14ac:dyDescent="0.25">
      <c r="A14" s="13">
        <v>3970</v>
      </c>
      <c r="B14" s="13" t="s">
        <v>10</v>
      </c>
      <c r="C14" s="170"/>
      <c r="D14" s="138"/>
      <c r="E14" s="138"/>
      <c r="F14" s="138"/>
      <c r="G14" s="28"/>
      <c r="H14" s="138"/>
      <c r="I14" s="138"/>
      <c r="J14" s="138"/>
    </row>
    <row r="15" spans="1:10" x14ac:dyDescent="0.25">
      <c r="A15" s="13">
        <v>3975</v>
      </c>
      <c r="B15" s="13" t="s">
        <v>11</v>
      </c>
      <c r="C15" s="170"/>
      <c r="D15" s="138"/>
      <c r="E15" s="138"/>
      <c r="F15" s="138"/>
      <c r="G15" s="28"/>
      <c r="H15" s="138"/>
      <c r="I15" s="138"/>
      <c r="J15" s="138"/>
    </row>
    <row r="16" spans="1:10" x14ac:dyDescent="0.25">
      <c r="A16" s="13">
        <v>3980</v>
      </c>
      <c r="B16" s="13" t="s">
        <v>12</v>
      </c>
      <c r="C16" s="170"/>
      <c r="D16" s="138"/>
      <c r="E16" s="138"/>
      <c r="F16" s="138"/>
      <c r="G16" s="28"/>
      <c r="H16" s="138"/>
      <c r="I16" s="138"/>
      <c r="J16" s="138"/>
    </row>
    <row r="17" spans="1:10" x14ac:dyDescent="0.25">
      <c r="A17" s="13">
        <v>3990</v>
      </c>
      <c r="B17" s="23" t="s">
        <v>8</v>
      </c>
      <c r="C17" s="172"/>
      <c r="D17" s="138"/>
      <c r="E17" s="138"/>
      <c r="F17" s="138"/>
      <c r="G17" s="28"/>
      <c r="H17" s="138"/>
      <c r="I17" s="138"/>
      <c r="J17" s="138"/>
    </row>
    <row r="18" spans="1:10" x14ac:dyDescent="0.25">
      <c r="A18" s="13"/>
      <c r="B18" s="30" t="s">
        <v>14</v>
      </c>
      <c r="C18" s="173"/>
      <c r="D18" s="140">
        <f t="shared" ref="D18:J18" si="0">SUM(D4:D17)</f>
        <v>5600</v>
      </c>
      <c r="E18" s="140">
        <f t="shared" si="0"/>
        <v>9350</v>
      </c>
      <c r="F18" s="140">
        <f t="shared" si="0"/>
        <v>5500</v>
      </c>
      <c r="G18" s="31">
        <f>SUM(G4:G17)</f>
        <v>8000</v>
      </c>
      <c r="H18" s="140">
        <f t="shared" si="0"/>
        <v>-500</v>
      </c>
      <c r="I18" s="140">
        <f t="shared" si="0"/>
        <v>7000</v>
      </c>
      <c r="J18" s="140">
        <f t="shared" si="0"/>
        <v>0</v>
      </c>
    </row>
    <row r="19" spans="1:10" x14ac:dyDescent="0.25">
      <c r="A19" s="13"/>
      <c r="B19" s="12" t="s">
        <v>15</v>
      </c>
      <c r="C19" s="174"/>
      <c r="D19" s="135"/>
      <c r="E19" s="135"/>
      <c r="F19" s="135"/>
      <c r="G19" s="22"/>
      <c r="H19" s="135"/>
      <c r="I19" s="135"/>
      <c r="J19" s="135"/>
    </row>
    <row r="20" spans="1:10" x14ac:dyDescent="0.25">
      <c r="A20" s="13">
        <v>4210</v>
      </c>
      <c r="B20" s="13" t="s">
        <v>16</v>
      </c>
      <c r="C20" s="170"/>
      <c r="D20" s="135"/>
      <c r="E20" s="135"/>
      <c r="F20" s="135"/>
      <c r="G20" s="22"/>
      <c r="H20" s="135"/>
      <c r="I20" s="135"/>
      <c r="J20" s="135"/>
    </row>
    <row r="21" spans="1:10" x14ac:dyDescent="0.25">
      <c r="A21" s="13">
        <v>4220</v>
      </c>
      <c r="B21" s="13" t="s">
        <v>17</v>
      </c>
      <c r="C21" s="170"/>
      <c r="D21" s="135"/>
      <c r="E21" s="135"/>
      <c r="F21" s="135"/>
      <c r="G21" s="22"/>
      <c r="H21" s="135"/>
      <c r="I21" s="135"/>
      <c r="J21" s="135"/>
    </row>
    <row r="22" spans="1:10" x14ac:dyDescent="0.25">
      <c r="A22" s="13">
        <v>4225</v>
      </c>
      <c r="B22" s="13" t="s">
        <v>19</v>
      </c>
      <c r="C22" s="170"/>
      <c r="D22" s="135"/>
      <c r="E22" s="135"/>
      <c r="F22" s="135"/>
      <c r="G22" s="22"/>
      <c r="H22" s="135"/>
      <c r="I22" s="135"/>
      <c r="J22" s="135"/>
    </row>
    <row r="23" spans="1:10" x14ac:dyDescent="0.25">
      <c r="A23" s="13">
        <v>4300</v>
      </c>
      <c r="B23" s="13" t="s">
        <v>18</v>
      </c>
      <c r="C23" s="170"/>
      <c r="D23" s="135"/>
      <c r="E23" s="135"/>
      <c r="F23" s="135"/>
      <c r="G23" s="22"/>
      <c r="H23" s="135">
        <f>1607.85-1607.85</f>
        <v>0</v>
      </c>
      <c r="I23" s="135"/>
      <c r="J23" s="135"/>
    </row>
    <row r="24" spans="1:10" x14ac:dyDescent="0.25">
      <c r="A24" s="13">
        <v>5000</v>
      </c>
      <c r="B24" s="13" t="s">
        <v>20</v>
      </c>
      <c r="C24" s="170"/>
      <c r="D24" s="135"/>
      <c r="E24" s="135"/>
      <c r="F24" s="135"/>
      <c r="G24" s="22"/>
      <c r="H24" s="135"/>
      <c r="I24" s="135"/>
      <c r="J24" s="135"/>
    </row>
    <row r="25" spans="1:10" x14ac:dyDescent="0.25">
      <c r="A25" s="13">
        <v>6315</v>
      </c>
      <c r="B25" s="13" t="s">
        <v>22</v>
      </c>
      <c r="C25" s="170"/>
      <c r="D25" s="135">
        <v>3786</v>
      </c>
      <c r="E25" s="135">
        <v>1966</v>
      </c>
      <c r="F25" s="123">
        <v>1083.3599999999999</v>
      </c>
      <c r="G25" s="22">
        <v>4000</v>
      </c>
      <c r="H25" s="123"/>
      <c r="I25" s="135">
        <v>2000</v>
      </c>
      <c r="J25" s="135">
        <v>1000</v>
      </c>
    </row>
    <row r="26" spans="1:10" x14ac:dyDescent="0.25">
      <c r="A26" s="13">
        <v>6316</v>
      </c>
      <c r="B26" s="13" t="s">
        <v>39</v>
      </c>
      <c r="C26" s="170"/>
      <c r="D26" s="135">
        <v>10062.5</v>
      </c>
      <c r="E26" s="135">
        <v>10937.5</v>
      </c>
      <c r="F26" s="123">
        <v>7000</v>
      </c>
      <c r="G26" s="22">
        <v>10000</v>
      </c>
      <c r="H26" s="123">
        <f>-1500+1500+1500</f>
        <v>1500</v>
      </c>
      <c r="I26" s="135">
        <v>7000</v>
      </c>
      <c r="J26" s="135">
        <v>3000</v>
      </c>
    </row>
    <row r="27" spans="1:10" x14ac:dyDescent="0.25">
      <c r="A27" s="13">
        <v>6320</v>
      </c>
      <c r="B27" s="13" t="s">
        <v>23</v>
      </c>
      <c r="C27" s="170"/>
      <c r="D27" s="135">
        <v>7200</v>
      </c>
      <c r="E27" s="135">
        <v>7200</v>
      </c>
      <c r="F27" s="123">
        <v>8383</v>
      </c>
      <c r="G27" s="22">
        <v>8000</v>
      </c>
      <c r="H27" s="123"/>
      <c r="I27" s="135">
        <v>9000</v>
      </c>
      <c r="J27" s="135"/>
    </row>
    <row r="28" spans="1:10" x14ac:dyDescent="0.25">
      <c r="A28" s="13">
        <v>6340</v>
      </c>
      <c r="B28" s="13" t="s">
        <v>41</v>
      </c>
      <c r="C28" s="170"/>
      <c r="D28" s="135">
        <v>41319.94</v>
      </c>
      <c r="E28" s="135">
        <v>40931</v>
      </c>
      <c r="F28" s="123">
        <v>39474.06</v>
      </c>
      <c r="G28" s="22">
        <v>42000</v>
      </c>
      <c r="H28" s="123">
        <v>45409.04</v>
      </c>
      <c r="I28" s="135">
        <v>40000</v>
      </c>
      <c r="J28" s="135">
        <v>45000</v>
      </c>
    </row>
    <row r="29" spans="1:10" x14ac:dyDescent="0.25">
      <c r="A29" s="13">
        <v>6340</v>
      </c>
      <c r="B29" s="13" t="s">
        <v>42</v>
      </c>
      <c r="C29" s="170"/>
      <c r="D29" s="135">
        <v>10690.6</v>
      </c>
      <c r="E29" s="135">
        <v>5821</v>
      </c>
      <c r="F29" s="123">
        <v>6464.9</v>
      </c>
      <c r="G29" s="22">
        <v>10000</v>
      </c>
      <c r="H29" s="123">
        <v>2735.04</v>
      </c>
      <c r="I29" s="135">
        <v>6500</v>
      </c>
      <c r="J29" s="123">
        <v>3000</v>
      </c>
    </row>
    <row r="30" spans="1:10" x14ac:dyDescent="0.25">
      <c r="A30" s="13">
        <v>6550</v>
      </c>
      <c r="B30" s="13" t="s">
        <v>40</v>
      </c>
      <c r="C30" s="170"/>
      <c r="D30" s="135">
        <v>499</v>
      </c>
      <c r="E30" s="135"/>
      <c r="F30" s="123"/>
      <c r="G30" s="22"/>
      <c r="H30" s="123">
        <v>2471.1</v>
      </c>
      <c r="I30" s="135"/>
      <c r="J30" s="135">
        <v>5000</v>
      </c>
    </row>
    <row r="31" spans="1:10" x14ac:dyDescent="0.25">
      <c r="A31" s="13">
        <v>6600</v>
      </c>
      <c r="B31" s="13" t="s">
        <v>24</v>
      </c>
      <c r="C31" s="170"/>
      <c r="D31" s="135">
        <v>23123</v>
      </c>
      <c r="E31" s="135">
        <v>12174</v>
      </c>
      <c r="F31" s="123">
        <v>1665</v>
      </c>
      <c r="G31" s="22">
        <v>10000</v>
      </c>
      <c r="H31" s="123">
        <v>704</v>
      </c>
      <c r="I31" s="135">
        <v>5000</v>
      </c>
      <c r="J31" s="135">
        <v>1000</v>
      </c>
    </row>
    <row r="32" spans="1:10" x14ac:dyDescent="0.25">
      <c r="A32" s="13">
        <v>6620</v>
      </c>
      <c r="B32" s="13" t="s">
        <v>25</v>
      </c>
      <c r="C32" s="170"/>
      <c r="D32" s="135">
        <v>6879</v>
      </c>
      <c r="E32" s="135"/>
      <c r="F32" s="123">
        <v>1250</v>
      </c>
      <c r="G32" s="22"/>
      <c r="H32" s="123"/>
      <c r="I32" s="135"/>
      <c r="J32" s="135"/>
    </row>
    <row r="33" spans="1:10" x14ac:dyDescent="0.25">
      <c r="A33" s="13">
        <v>6630</v>
      </c>
      <c r="B33" s="13" t="s">
        <v>47</v>
      </c>
      <c r="C33" s="170"/>
      <c r="D33" s="135">
        <v>1656</v>
      </c>
      <c r="E33" s="135">
        <v>2806</v>
      </c>
      <c r="F33" s="123"/>
      <c r="G33" s="22">
        <v>2000</v>
      </c>
      <c r="H33" s="123"/>
      <c r="I33" s="135">
        <v>2000</v>
      </c>
      <c r="J33" s="135">
        <v>1000</v>
      </c>
    </row>
    <row r="34" spans="1:10" x14ac:dyDescent="0.25">
      <c r="A34" s="13">
        <v>6705</v>
      </c>
      <c r="B34" s="23" t="s">
        <v>28</v>
      </c>
      <c r="C34" s="172"/>
      <c r="D34" s="135"/>
      <c r="E34" s="135"/>
      <c r="F34" s="123"/>
      <c r="G34" s="22"/>
      <c r="H34" s="123"/>
      <c r="I34" s="135"/>
      <c r="J34" s="135"/>
    </row>
    <row r="35" spans="1:10" x14ac:dyDescent="0.25">
      <c r="A35" s="13">
        <v>6800</v>
      </c>
      <c r="B35" s="13" t="s">
        <v>43</v>
      </c>
      <c r="C35" s="170"/>
      <c r="D35" s="135"/>
      <c r="E35" s="135"/>
      <c r="F35" s="123"/>
      <c r="G35" s="22"/>
      <c r="H35" s="123">
        <v>487.5</v>
      </c>
      <c r="I35" s="135"/>
      <c r="J35" s="135"/>
    </row>
    <row r="36" spans="1:10" x14ac:dyDescent="0.25">
      <c r="A36" s="13">
        <v>6840</v>
      </c>
      <c r="B36" s="13" t="s">
        <v>26</v>
      </c>
      <c r="C36" s="170"/>
      <c r="D36" s="135"/>
      <c r="E36" s="135"/>
      <c r="F36" s="123"/>
      <c r="G36" s="22"/>
      <c r="H36" s="123"/>
      <c r="I36" s="135"/>
      <c r="J36" s="135"/>
    </row>
    <row r="37" spans="1:10" x14ac:dyDescent="0.25">
      <c r="A37" s="13">
        <v>6860</v>
      </c>
      <c r="B37" s="13" t="s">
        <v>27</v>
      </c>
      <c r="C37" s="170"/>
      <c r="D37" s="135"/>
      <c r="E37" s="135"/>
      <c r="F37" s="123"/>
      <c r="G37" s="22"/>
      <c r="H37" s="123"/>
      <c r="I37" s="135"/>
      <c r="J37" s="135"/>
    </row>
    <row r="38" spans="1:10" x14ac:dyDescent="0.25">
      <c r="A38" s="13">
        <v>6900</v>
      </c>
      <c r="B38" s="23" t="s">
        <v>44</v>
      </c>
      <c r="C38" s="172"/>
      <c r="D38" s="135"/>
      <c r="E38" s="135"/>
      <c r="F38" s="123"/>
      <c r="G38" s="22"/>
      <c r="H38" s="123"/>
      <c r="I38" s="135"/>
      <c r="J38" s="135"/>
    </row>
    <row r="39" spans="1:10" x14ac:dyDescent="0.25">
      <c r="A39" s="13">
        <v>6940</v>
      </c>
      <c r="B39" s="13" t="s">
        <v>29</v>
      </c>
      <c r="C39" s="170"/>
      <c r="D39" s="135"/>
      <c r="E39" s="135"/>
      <c r="F39" s="123"/>
      <c r="G39" s="22"/>
      <c r="H39" s="123"/>
      <c r="I39" s="135"/>
      <c r="J39" s="135"/>
    </row>
    <row r="40" spans="1:10" x14ac:dyDescent="0.25">
      <c r="A40" s="13">
        <v>7000</v>
      </c>
      <c r="B40" s="13" t="s">
        <v>48</v>
      </c>
      <c r="C40" s="170"/>
      <c r="D40" s="135"/>
      <c r="E40" s="135"/>
      <c r="F40" s="123"/>
      <c r="G40" s="22"/>
      <c r="H40" s="123"/>
      <c r="I40" s="135"/>
      <c r="J40" s="135"/>
    </row>
    <row r="41" spans="1:10" x14ac:dyDescent="0.25">
      <c r="A41" s="13">
        <v>7140</v>
      </c>
      <c r="B41" s="13" t="s">
        <v>45</v>
      </c>
      <c r="C41" s="170"/>
      <c r="D41" s="135"/>
      <c r="E41" s="135"/>
      <c r="F41" s="123"/>
      <c r="G41" s="22"/>
      <c r="H41" s="123"/>
      <c r="I41" s="135"/>
      <c r="J41" s="135"/>
    </row>
    <row r="42" spans="1:10" x14ac:dyDescent="0.25">
      <c r="A42" s="13">
        <v>7320</v>
      </c>
      <c r="B42" s="23" t="s">
        <v>30</v>
      </c>
      <c r="C42" s="172"/>
      <c r="D42" s="135"/>
      <c r="E42" s="135"/>
      <c r="F42" s="123"/>
      <c r="G42" s="22"/>
      <c r="H42" s="123"/>
      <c r="I42" s="135"/>
      <c r="J42" s="135"/>
    </row>
    <row r="43" spans="1:10" x14ac:dyDescent="0.25">
      <c r="A43" s="13">
        <v>7400</v>
      </c>
      <c r="B43" s="13" t="s">
        <v>31</v>
      </c>
      <c r="C43" s="170"/>
      <c r="D43" s="135"/>
      <c r="E43" s="135"/>
      <c r="F43" s="123"/>
      <c r="G43" s="22"/>
      <c r="H43" s="123"/>
      <c r="I43" s="135"/>
      <c r="J43" s="135"/>
    </row>
    <row r="44" spans="1:10" x14ac:dyDescent="0.25">
      <c r="A44" s="13">
        <v>7420</v>
      </c>
      <c r="B44" s="13" t="s">
        <v>12</v>
      </c>
      <c r="C44" s="170"/>
      <c r="D44" s="135"/>
      <c r="E44" s="135"/>
      <c r="F44" s="123"/>
      <c r="G44" s="22"/>
      <c r="H44" s="123"/>
      <c r="I44" s="135"/>
      <c r="J44" s="135"/>
    </row>
    <row r="45" spans="1:10" x14ac:dyDescent="0.25">
      <c r="A45" s="13">
        <v>7500</v>
      </c>
      <c r="B45" s="13" t="s">
        <v>21</v>
      </c>
      <c r="C45" s="170"/>
      <c r="D45" s="135"/>
      <c r="E45" s="135"/>
      <c r="F45" s="123"/>
      <c r="G45" s="22"/>
      <c r="H45" s="123">
        <f>59632-29816-29816</f>
        <v>0</v>
      </c>
      <c r="I45" s="135"/>
      <c r="J45" s="135"/>
    </row>
    <row r="46" spans="1:10" s="144" customFormat="1" x14ac:dyDescent="0.25">
      <c r="A46" s="13">
        <v>7745</v>
      </c>
      <c r="B46" s="13" t="s">
        <v>92</v>
      </c>
      <c r="C46" s="170"/>
      <c r="D46" s="135"/>
      <c r="E46" s="135"/>
      <c r="F46" s="123"/>
      <c r="G46" s="135"/>
      <c r="H46" s="123"/>
      <c r="I46" s="135"/>
      <c r="J46" s="135"/>
    </row>
    <row r="47" spans="1:10" x14ac:dyDescent="0.25">
      <c r="A47" s="13">
        <v>7750</v>
      </c>
      <c r="B47" s="13" t="s">
        <v>32</v>
      </c>
      <c r="C47" s="170"/>
      <c r="D47" s="135"/>
      <c r="E47" s="135"/>
      <c r="F47" s="123"/>
      <c r="G47" s="22"/>
      <c r="H47" s="123"/>
      <c r="I47" s="135"/>
      <c r="J47" s="135"/>
    </row>
    <row r="48" spans="1:10" x14ac:dyDescent="0.25">
      <c r="A48" s="13">
        <v>7755</v>
      </c>
      <c r="B48" s="13" t="s">
        <v>33</v>
      </c>
      <c r="C48" s="170"/>
      <c r="D48" s="135"/>
      <c r="E48" s="135"/>
      <c r="F48" s="123"/>
      <c r="G48" s="22"/>
      <c r="H48" s="123"/>
      <c r="I48" s="135"/>
      <c r="J48" s="135"/>
    </row>
    <row r="49" spans="1:10" x14ac:dyDescent="0.25">
      <c r="A49" s="13">
        <v>7770</v>
      </c>
      <c r="B49" s="13" t="s">
        <v>46</v>
      </c>
      <c r="C49" s="170"/>
      <c r="D49" s="135"/>
      <c r="E49" s="135"/>
      <c r="F49" s="123"/>
      <c r="G49" s="22"/>
      <c r="H49" s="123"/>
      <c r="I49" s="135"/>
      <c r="J49" s="135"/>
    </row>
    <row r="50" spans="1:10" x14ac:dyDescent="0.25">
      <c r="A50" s="13">
        <v>7790</v>
      </c>
      <c r="B50" s="13" t="s">
        <v>34</v>
      </c>
      <c r="C50" s="170"/>
      <c r="D50" s="135"/>
      <c r="E50" s="135"/>
      <c r="F50" s="123"/>
      <c r="G50" s="22"/>
      <c r="H50" s="123"/>
      <c r="I50" s="135"/>
      <c r="J50" s="135"/>
    </row>
    <row r="51" spans="1:10" x14ac:dyDescent="0.25">
      <c r="A51" s="13">
        <v>6010</v>
      </c>
      <c r="B51" s="23" t="s">
        <v>35</v>
      </c>
      <c r="C51" s="172"/>
      <c r="D51" s="135"/>
      <c r="E51" s="135"/>
      <c r="F51" s="123"/>
      <c r="G51" s="22"/>
      <c r="H51" s="123"/>
      <c r="I51" s="135"/>
      <c r="J51" s="135"/>
    </row>
    <row r="52" spans="1:10" x14ac:dyDescent="0.25">
      <c r="A52" s="13"/>
      <c r="B52" s="26" t="s">
        <v>36</v>
      </c>
      <c r="C52" s="169"/>
      <c r="D52" s="141">
        <f>SUM(D20:D51)</f>
        <v>105216.04000000001</v>
      </c>
      <c r="E52" s="141">
        <f t="shared" ref="E52:J52" si="1">SUM(E19:E51)</f>
        <v>81835.5</v>
      </c>
      <c r="F52" s="141">
        <f t="shared" si="1"/>
        <v>65320.32</v>
      </c>
      <c r="G52" s="32">
        <f>SUM(G19:G51)</f>
        <v>86000</v>
      </c>
      <c r="H52" s="141">
        <f t="shared" si="1"/>
        <v>53306.68</v>
      </c>
      <c r="I52" s="141">
        <f t="shared" si="1"/>
        <v>71500</v>
      </c>
      <c r="J52" s="141">
        <f t="shared" si="1"/>
        <v>59000</v>
      </c>
    </row>
    <row r="53" spans="1:10" x14ac:dyDescent="0.25">
      <c r="A53" s="13"/>
      <c r="B53" s="33"/>
      <c r="C53" s="175"/>
      <c r="D53" s="139"/>
      <c r="E53" s="139"/>
      <c r="F53" s="139"/>
      <c r="G53" s="29"/>
      <c r="H53" s="139"/>
      <c r="I53" s="139"/>
      <c r="J53" s="139"/>
    </row>
    <row r="54" spans="1:10" x14ac:dyDescent="0.25">
      <c r="A54" s="13"/>
      <c r="B54" s="26" t="s">
        <v>38</v>
      </c>
      <c r="C54" s="169"/>
      <c r="D54" s="141">
        <f>(D18-D52)</f>
        <v>-99616.040000000008</v>
      </c>
      <c r="E54" s="141">
        <f t="shared" ref="E54:J54" si="2">E18-E52</f>
        <v>-72485.5</v>
      </c>
      <c r="F54" s="141">
        <f t="shared" si="2"/>
        <v>-59820.32</v>
      </c>
      <c r="G54" s="32">
        <f t="shared" si="2"/>
        <v>-78000</v>
      </c>
      <c r="H54" s="141">
        <f t="shared" si="2"/>
        <v>-53806.68</v>
      </c>
      <c r="I54" s="141">
        <f t="shared" si="2"/>
        <v>-64500</v>
      </c>
      <c r="J54" s="141">
        <f t="shared" si="2"/>
        <v>-59000</v>
      </c>
    </row>
    <row r="55" spans="1:10" x14ac:dyDescent="0.25">
      <c r="A55" s="23"/>
      <c r="B55" s="23"/>
      <c r="C55" s="172"/>
      <c r="D55" s="136"/>
      <c r="E55" s="136"/>
      <c r="F55" s="136"/>
      <c r="G55" s="23"/>
      <c r="H55" s="136"/>
      <c r="I55" s="136"/>
      <c r="J55" s="136"/>
    </row>
    <row r="56" spans="1:10" x14ac:dyDescent="0.25">
      <c r="A56" s="23"/>
      <c r="B56" s="24" t="s">
        <v>49</v>
      </c>
      <c r="C56" s="176"/>
      <c r="D56" s="137"/>
      <c r="E56" s="137"/>
      <c r="F56" s="137"/>
      <c r="G56" s="25"/>
      <c r="H56" s="137"/>
      <c r="I56" s="137"/>
      <c r="J56" s="137"/>
    </row>
    <row r="57" spans="1:10" x14ac:dyDescent="0.25">
      <c r="A57" s="23"/>
      <c r="B57" s="23" t="s">
        <v>50</v>
      </c>
      <c r="C57" s="172"/>
      <c r="D57" s="137"/>
      <c r="E57" s="137"/>
      <c r="F57" s="137"/>
      <c r="G57" s="25"/>
      <c r="H57" s="137"/>
      <c r="I57" s="137"/>
      <c r="J57" s="137"/>
    </row>
    <row r="58" spans="1:10" x14ac:dyDescent="0.25">
      <c r="A58" s="23"/>
      <c r="B58" s="23" t="s">
        <v>52</v>
      </c>
      <c r="C58" s="172"/>
      <c r="D58" s="137"/>
      <c r="E58" s="137"/>
      <c r="F58" s="137"/>
      <c r="G58" s="25"/>
      <c r="H58" s="137"/>
      <c r="I58" s="137"/>
      <c r="J58" s="137"/>
    </row>
    <row r="59" spans="1:10" x14ac:dyDescent="0.25">
      <c r="A59" s="23"/>
      <c r="B59" s="34" t="s">
        <v>53</v>
      </c>
      <c r="C59" s="177"/>
      <c r="D59" s="142">
        <f t="shared" ref="D59:E59" si="3">D57-D58</f>
        <v>0</v>
      </c>
      <c r="E59" s="142">
        <f t="shared" si="3"/>
        <v>0</v>
      </c>
      <c r="F59" s="142">
        <f t="shared" ref="F59" si="4">F57-F58</f>
        <v>0</v>
      </c>
      <c r="G59" s="35">
        <f>G57-G58</f>
        <v>0</v>
      </c>
      <c r="H59" s="142"/>
      <c r="I59" s="142">
        <f t="shared" ref="I59:J59" si="5">I57-I58</f>
        <v>0</v>
      </c>
      <c r="J59" s="142">
        <f t="shared" si="5"/>
        <v>0</v>
      </c>
    </row>
    <row r="60" spans="1:10" x14ac:dyDescent="0.25">
      <c r="A60" s="23"/>
      <c r="B60" s="23"/>
      <c r="C60" s="172"/>
      <c r="D60" s="137"/>
      <c r="E60" s="137"/>
      <c r="F60" s="137"/>
      <c r="G60" s="25"/>
      <c r="H60" s="137"/>
      <c r="I60" s="137"/>
      <c r="J60" s="137"/>
    </row>
    <row r="61" spans="1:10" x14ac:dyDescent="0.25">
      <c r="A61" s="23"/>
      <c r="B61" s="36" t="s">
        <v>37</v>
      </c>
      <c r="C61" s="178"/>
      <c r="D61" s="143">
        <f t="shared" ref="D61:E61" si="6">D54+D59</f>
        <v>-99616.040000000008</v>
      </c>
      <c r="E61" s="143">
        <f t="shared" si="6"/>
        <v>-72485.5</v>
      </c>
      <c r="F61" s="143">
        <f t="shared" ref="F61:H61" si="7">F54+F59</f>
        <v>-59820.32</v>
      </c>
      <c r="G61" s="37">
        <f>G54+G59</f>
        <v>-78000</v>
      </c>
      <c r="H61" s="143">
        <f t="shared" si="7"/>
        <v>-53806.68</v>
      </c>
      <c r="I61" s="143">
        <f t="shared" ref="I61:J61" si="8">I54+I59</f>
        <v>-64500</v>
      </c>
      <c r="J61" s="143">
        <f t="shared" si="8"/>
        <v>-59000</v>
      </c>
    </row>
  </sheetData>
  <pageMargins left="0.7" right="0.7" top="0.75" bottom="0.75" header="0.3" footer="0.3"/>
  <pageSetup paperSize="9"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9"/>
  <sheetViews>
    <sheetView tabSelected="1" zoomScaleNormal="100" workbookViewId="0">
      <pane xSplit="2" ySplit="4" topLeftCell="N5" activePane="bottomRight" state="frozen"/>
      <selection pane="topRight" activeCell="C1" sqref="C1"/>
      <selection pane="bottomLeft" activeCell="A5" sqref="A5"/>
      <selection pane="bottomRight" activeCell="W41" sqref="W41"/>
    </sheetView>
  </sheetViews>
  <sheetFormatPr baseColWidth="10" defaultRowHeight="15" x14ac:dyDescent="0.25"/>
  <cols>
    <col min="1" max="1" width="5.42578125" customWidth="1"/>
    <col min="2" max="2" width="25.42578125" customWidth="1"/>
    <col min="3" max="3" width="8.5703125" customWidth="1"/>
    <col min="4" max="4" width="9.5703125" customWidth="1"/>
    <col min="5" max="5" width="9.85546875" customWidth="1"/>
    <col min="6" max="6" width="8.7109375" customWidth="1"/>
    <col min="7" max="7" width="9.28515625" customWidth="1"/>
    <col min="8" max="8" width="9.85546875" customWidth="1"/>
    <col min="9" max="9" width="11.140625" customWidth="1"/>
    <col min="10" max="10" width="10.28515625" bestFit="1" customWidth="1"/>
    <col min="11" max="11" width="10.140625" customWidth="1"/>
    <col min="12" max="12" width="8.7109375" customWidth="1"/>
    <col min="13" max="13" width="9.28515625" customWidth="1"/>
    <col min="14" max="14" width="10.140625" customWidth="1"/>
    <col min="15" max="15" width="8.28515625" customWidth="1"/>
    <col min="16" max="16" width="8.5703125" customWidth="1"/>
    <col min="17" max="17" width="10.140625" customWidth="1"/>
    <col min="18" max="20" width="10.140625" style="144" customWidth="1"/>
    <col min="21" max="21" width="16" customWidth="1"/>
    <col min="22" max="22" width="9.140625" customWidth="1"/>
    <col min="23" max="23" width="9.42578125" customWidth="1"/>
    <col min="24" max="24" width="9.140625" hidden="1" customWidth="1"/>
    <col min="25" max="25" width="9.42578125" hidden="1" customWidth="1"/>
    <col min="26" max="26" width="10.5703125" hidden="1" customWidth="1"/>
    <col min="27" max="27" width="13.85546875" customWidth="1"/>
    <col min="28" max="28" width="0.5703125" hidden="1" customWidth="1"/>
    <col min="29" max="29" width="14.140625" customWidth="1"/>
    <col min="30" max="30" width="12.7109375" customWidth="1"/>
  </cols>
  <sheetData>
    <row r="1" spans="1:30" ht="27.6" customHeight="1" x14ac:dyDescent="0.35">
      <c r="B1" s="1" t="s">
        <v>176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AA1" s="4"/>
      <c r="AB1" s="4"/>
      <c r="AC1" s="4"/>
      <c r="AD1" s="4"/>
    </row>
    <row r="2" spans="1:30" ht="29.45" customHeight="1" thickBot="1" x14ac:dyDescent="0.4">
      <c r="B2" s="1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7" t="s">
        <v>130</v>
      </c>
      <c r="R2" s="7"/>
      <c r="S2" s="7"/>
      <c r="T2" s="7"/>
      <c r="U2" s="7"/>
      <c r="V2" s="7"/>
      <c r="W2" s="7"/>
      <c r="X2" s="7"/>
      <c r="Y2" s="7"/>
      <c r="Z2" s="7"/>
      <c r="AA2" s="4"/>
      <c r="AB2" s="4"/>
      <c r="AC2" s="4"/>
      <c r="AD2" s="4"/>
    </row>
    <row r="3" spans="1:30" ht="19.149999999999999" customHeight="1" x14ac:dyDescent="0.35">
      <c r="A3" s="49"/>
      <c r="B3" s="50"/>
      <c r="C3" s="51" t="s">
        <v>57</v>
      </c>
      <c r="D3" s="52"/>
      <c r="E3" s="167"/>
      <c r="F3" s="51" t="s">
        <v>57</v>
      </c>
      <c r="G3" s="52" t="s">
        <v>58</v>
      </c>
      <c r="H3" s="167"/>
      <c r="I3" s="51" t="s">
        <v>57</v>
      </c>
      <c r="J3" s="52" t="s">
        <v>59</v>
      </c>
      <c r="K3" s="167"/>
      <c r="L3" s="51" t="s">
        <v>60</v>
      </c>
      <c r="M3" s="52" t="s">
        <v>61</v>
      </c>
      <c r="N3" s="167"/>
      <c r="O3" s="51" t="s">
        <v>62</v>
      </c>
      <c r="P3" s="52"/>
      <c r="Q3" s="168"/>
      <c r="R3" s="216"/>
      <c r="S3" s="51" t="s">
        <v>171</v>
      </c>
      <c r="T3" s="216"/>
      <c r="U3" s="152" t="s">
        <v>102</v>
      </c>
      <c r="V3" s="52"/>
      <c r="W3" s="54"/>
      <c r="X3" s="51" t="s">
        <v>63</v>
      </c>
      <c r="Y3" s="52"/>
      <c r="Z3" s="54"/>
      <c r="AA3" s="51" t="s">
        <v>64</v>
      </c>
      <c r="AB3" s="52"/>
      <c r="AC3" s="53"/>
      <c r="AD3" s="55"/>
    </row>
    <row r="4" spans="1:30" ht="23.45" customHeight="1" thickBot="1" x14ac:dyDescent="0.3">
      <c r="A4" s="45" t="s">
        <v>0</v>
      </c>
      <c r="B4" s="155" t="s">
        <v>1</v>
      </c>
      <c r="C4" s="192">
        <v>2015</v>
      </c>
      <c r="D4" s="193">
        <v>2016</v>
      </c>
      <c r="E4" s="191" t="s">
        <v>173</v>
      </c>
      <c r="F4" s="194">
        <f>C4</f>
        <v>2015</v>
      </c>
      <c r="G4" s="193">
        <f>D4</f>
        <v>2016</v>
      </c>
      <c r="H4" s="191" t="s">
        <v>173</v>
      </c>
      <c r="I4" s="194">
        <f>C4</f>
        <v>2015</v>
      </c>
      <c r="J4" s="193">
        <f>D4</f>
        <v>2016</v>
      </c>
      <c r="K4" s="191" t="s">
        <v>173</v>
      </c>
      <c r="L4" s="194">
        <f>C4</f>
        <v>2015</v>
      </c>
      <c r="M4" s="193">
        <f>D4</f>
        <v>2016</v>
      </c>
      <c r="N4" s="193" t="s">
        <v>174</v>
      </c>
      <c r="O4" s="194">
        <v>2012</v>
      </c>
      <c r="P4" s="194">
        <v>2013</v>
      </c>
      <c r="Q4" s="196" t="s">
        <v>175</v>
      </c>
      <c r="R4" s="192">
        <v>2016</v>
      </c>
      <c r="S4" s="194">
        <v>2017</v>
      </c>
      <c r="T4" s="192" t="s">
        <v>172</v>
      </c>
      <c r="U4" s="194">
        <f>C4</f>
        <v>2015</v>
      </c>
      <c r="V4" s="192">
        <f>D4</f>
        <v>2016</v>
      </c>
      <c r="W4" s="196" t="s">
        <v>173</v>
      </c>
      <c r="X4" s="194">
        <v>2012</v>
      </c>
      <c r="Y4" s="194">
        <v>2013</v>
      </c>
      <c r="Z4" s="195" t="s">
        <v>56</v>
      </c>
      <c r="AA4" s="197" t="s">
        <v>136</v>
      </c>
      <c r="AB4" s="198" t="s">
        <v>51</v>
      </c>
      <c r="AC4" s="198" t="s">
        <v>137</v>
      </c>
      <c r="AD4" s="199" t="s">
        <v>160</v>
      </c>
    </row>
    <row r="5" spans="1:30" ht="19.149999999999999" customHeight="1" x14ac:dyDescent="0.25">
      <c r="A5" s="42">
        <v>3110</v>
      </c>
      <c r="B5" s="42" t="s">
        <v>2</v>
      </c>
      <c r="C5" s="43">
        <f>'Turn '!F4</f>
        <v>0</v>
      </c>
      <c r="D5" s="43">
        <f>'Turn '!H4</f>
        <v>0</v>
      </c>
      <c r="E5" s="121">
        <f>'Turn '!J4</f>
        <v>0</v>
      </c>
      <c r="F5" s="43">
        <f>Ski!F4</f>
        <v>0</v>
      </c>
      <c r="G5" s="43">
        <f>Ski!H4</f>
        <v>0</v>
      </c>
      <c r="H5" s="43">
        <f>Ski!J4</f>
        <v>0</v>
      </c>
      <c r="I5" s="43">
        <f>Fotball!F4</f>
        <v>0</v>
      </c>
      <c r="J5" s="43">
        <f>Fotball!H4</f>
        <v>0</v>
      </c>
      <c r="K5" s="43">
        <f>Fotball!J4</f>
        <v>0</v>
      </c>
      <c r="L5" s="43">
        <f>Sykkel!F4</f>
        <v>0</v>
      </c>
      <c r="M5" s="43">
        <f>Sykkel!H4</f>
        <v>0</v>
      </c>
      <c r="N5" s="43">
        <f>Sykkel!J4</f>
        <v>0</v>
      </c>
      <c r="O5" s="43">
        <f>'G &amp; T'!D4</f>
        <v>0</v>
      </c>
      <c r="P5" s="43">
        <f>'G &amp; T'!F4</f>
        <v>0</v>
      </c>
      <c r="Q5" s="43">
        <f>'G &amp; T'!G4</f>
        <v>0</v>
      </c>
      <c r="R5" s="121">
        <f>TKD!D4</f>
        <v>0</v>
      </c>
      <c r="S5" s="121"/>
      <c r="T5" s="121">
        <f>TKD!E4</f>
        <v>0</v>
      </c>
      <c r="U5" s="43">
        <f>'G &amp; T'!F4+Hovedlaget!F4+Anlegg!F4+Blilie!F4+Prestmarka!F4</f>
        <v>78674.600000000006</v>
      </c>
      <c r="V5" s="121">
        <f>'G &amp; T'!H4+Hovedlaget!H4+Anlegg!H4+Blilie!H4+Prestmarka!H4</f>
        <v>62053</v>
      </c>
      <c r="W5" s="121">
        <f>'G &amp; T'!J4+Hovedlaget!J4+Anlegg!J4+Blilie!J4+Prestmarka!J4</f>
        <v>75000</v>
      </c>
      <c r="X5" s="121">
        <f>Hovedlaget!G4+'G &amp; T'!G4+Anlegg!G4+Blilie!G4+Prestmarka!G4</f>
        <v>75000</v>
      </c>
      <c r="Y5" s="121" t="e">
        <f>Hovedlaget!#REF!+'G &amp; T'!#REF!+Anlegg!#REF!+Blilie!#REF!+Prestmarka!#REF!</f>
        <v>#REF!</v>
      </c>
      <c r="Z5" s="121">
        <f>Hovedlaget!K4+'G &amp; T'!K4+Anlegg!K4+Blilie!K4+Prestmarka!K4</f>
        <v>0</v>
      </c>
      <c r="AA5" s="164">
        <f>C5+F5+I5+L5+U5</f>
        <v>78674.600000000006</v>
      </c>
      <c r="AB5" s="164">
        <f>'Turn '!E4+Ski!E4+Fotball!E4+Sykkel!E4+'G &amp; T'!E4+Hovedlaget!E4+Anlegg!E4+Blilie!E4+Prestmarka!E4</f>
        <v>78566</v>
      </c>
      <c r="AC5" s="164">
        <f>D5+G5+J5+M5+V5+R5</f>
        <v>62053</v>
      </c>
      <c r="AD5" s="44">
        <f>E5+H5+K5+N5+T5+W5</f>
        <v>75000</v>
      </c>
    </row>
    <row r="6" spans="1:30" ht="19.149999999999999" hidden="1" customHeight="1" x14ac:dyDescent="0.25">
      <c r="A6" s="9">
        <v>3115</v>
      </c>
      <c r="B6" s="9" t="s">
        <v>3</v>
      </c>
      <c r="C6" s="121">
        <f>'Turn '!F5</f>
        <v>0</v>
      </c>
      <c r="D6" s="121">
        <f>'Turn '!H5</f>
        <v>0</v>
      </c>
      <c r="E6" s="121">
        <f>'Turn '!J5</f>
        <v>0</v>
      </c>
      <c r="F6" s="121">
        <f>Ski!F5</f>
        <v>0</v>
      </c>
      <c r="G6" s="121">
        <f>Ski!H5</f>
        <v>0</v>
      </c>
      <c r="H6" s="121">
        <f>Ski!J5</f>
        <v>0</v>
      </c>
      <c r="I6" s="121">
        <f>Fotball!F5</f>
        <v>0</v>
      </c>
      <c r="J6" s="121">
        <f>Fotball!H5</f>
        <v>0</v>
      </c>
      <c r="K6" s="121">
        <f>Fotball!J5</f>
        <v>0</v>
      </c>
      <c r="L6" s="121">
        <f>Sykkel!E5</f>
        <v>0</v>
      </c>
      <c r="M6" s="121">
        <f>Sykkel!H5</f>
        <v>0</v>
      </c>
      <c r="N6" s="121">
        <f>Sykkel!J5</f>
        <v>0</v>
      </c>
      <c r="O6" s="43">
        <f>'G &amp; T'!D5</f>
        <v>0</v>
      </c>
      <c r="P6" s="43">
        <f>'G &amp; T'!F5</f>
        <v>0</v>
      </c>
      <c r="Q6" s="43">
        <f>'G &amp; T'!G5</f>
        <v>0</v>
      </c>
      <c r="R6" s="121">
        <f>TKD!D5</f>
        <v>0</v>
      </c>
      <c r="S6" s="121"/>
      <c r="T6" s="121">
        <f>TKD!E5</f>
        <v>0</v>
      </c>
      <c r="U6" s="121">
        <f>'G &amp; T'!F5+Hovedlaget!F5+Anlegg!F5+Blilie!F5+Prestmarka!F5</f>
        <v>0</v>
      </c>
      <c r="V6" s="121">
        <f>'G &amp; T'!H5+Hovedlaget!H5+Anlegg!H5+Blilie!H5+Prestmarka!H5</f>
        <v>0</v>
      </c>
      <c r="W6" s="121">
        <f>'G &amp; T'!J5+Hovedlaget!J5+Anlegg!J5+Blilie!J5+Prestmarka!J5</f>
        <v>0</v>
      </c>
      <c r="X6" s="43">
        <f>Anlegg!D5+Blilie!D5+Prestmarka!D5</f>
        <v>0</v>
      </c>
      <c r="Y6" s="43">
        <f>Anlegg!F5+Blilie!F5+Prestmarka!F5</f>
        <v>0</v>
      </c>
      <c r="Z6" s="43">
        <f>Anlegg!G5+Blilie!G5+Prestmarka!G5</f>
        <v>0</v>
      </c>
      <c r="AA6" s="164">
        <f t="shared" ref="AA6:AA17" si="0">C6+F6+I6+L6+U6</f>
        <v>0</v>
      </c>
      <c r="AB6" s="164">
        <f>'Turn '!E5+Ski!E5+Fotball!E5+Sykkel!E5+'G &amp; T'!E5+Hovedlaget!E5+Anlegg!E5+Blilie!E5+Prestmarka!E5</f>
        <v>0</v>
      </c>
      <c r="AC6" s="164">
        <f t="shared" ref="AC6:AC18" si="1">D6+G6+J6+M6+V6+R6</f>
        <v>0</v>
      </c>
      <c r="AD6" s="44">
        <f t="shared" ref="AD6:AD18" si="2">E6+H6+K6+N6+T6+W6</f>
        <v>0</v>
      </c>
    </row>
    <row r="7" spans="1:30" ht="19.149999999999999" customHeight="1" x14ac:dyDescent="0.25">
      <c r="A7" s="9">
        <v>3400</v>
      </c>
      <c r="B7" s="9" t="s">
        <v>4</v>
      </c>
      <c r="C7" s="121">
        <f>'Turn '!F6</f>
        <v>41198</v>
      </c>
      <c r="D7" s="121">
        <f>'Turn '!H6</f>
        <v>50987</v>
      </c>
      <c r="E7" s="121">
        <f>'Turn '!J6</f>
        <v>42000</v>
      </c>
      <c r="F7" s="121">
        <f>Ski!F6</f>
        <v>13507</v>
      </c>
      <c r="G7" s="121">
        <f>Ski!H6</f>
        <v>27832</v>
      </c>
      <c r="H7" s="121">
        <f>Ski!J6</f>
        <v>20000</v>
      </c>
      <c r="I7" s="121">
        <f>Fotball!F6</f>
        <v>126295</v>
      </c>
      <c r="J7" s="121">
        <f>Fotball!H6</f>
        <v>117876</v>
      </c>
      <c r="K7" s="121">
        <f>Fotball!J6</f>
        <v>53500</v>
      </c>
      <c r="L7" s="121">
        <f>Sykkel!F6</f>
        <v>1000</v>
      </c>
      <c r="M7" s="121">
        <f>Sykkel!H6</f>
        <v>0</v>
      </c>
      <c r="N7" s="121">
        <f>Sykkel!J6</f>
        <v>0</v>
      </c>
      <c r="O7" s="43">
        <f>'G &amp; T'!D6</f>
        <v>0</v>
      </c>
      <c r="P7" s="43">
        <f>'G &amp; T'!F6</f>
        <v>0</v>
      </c>
      <c r="Q7" s="43">
        <f>'G &amp; T'!G6</f>
        <v>0</v>
      </c>
      <c r="R7" s="121">
        <f>TKD!D6</f>
        <v>0</v>
      </c>
      <c r="S7" s="121"/>
      <c r="T7" s="121">
        <f>TKD!E6</f>
        <v>4800</v>
      </c>
      <c r="U7" s="121">
        <f>'G &amp; T'!F6+Hovedlaget!F6+Anlegg!F6+Blilie!F6+Prestmarka!F6</f>
        <v>297350</v>
      </c>
      <c r="V7" s="121">
        <f>'G &amp; T'!H6+Hovedlaget!H6+Anlegg!H6+Blilie!H6+Prestmarka!H6</f>
        <v>157688</v>
      </c>
      <c r="W7" s="121">
        <f>'G &amp; T'!J6+Hovedlaget!J6+Anlegg!J6+Blilie!J6+Prestmarka!J6</f>
        <v>155000</v>
      </c>
      <c r="X7" s="43"/>
      <c r="Y7" s="43"/>
      <c r="Z7" s="43"/>
      <c r="AA7" s="164">
        <f t="shared" si="0"/>
        <v>479350</v>
      </c>
      <c r="AB7" s="164">
        <f>'Turn '!E6+Ski!E6+Fotball!E6+Sykkel!E6+'G &amp; T'!E6+Hovedlaget!E6+Anlegg!E6+Blilie!E6+Prestmarka!E6</f>
        <v>287250</v>
      </c>
      <c r="AC7" s="164">
        <f>D7+G7+J7+M7+V7+R7</f>
        <v>354383</v>
      </c>
      <c r="AD7" s="44">
        <f t="shared" si="2"/>
        <v>275300</v>
      </c>
    </row>
    <row r="8" spans="1:30" ht="19.149999999999999" customHeight="1" x14ac:dyDescent="0.25">
      <c r="A8" s="9">
        <v>3440</v>
      </c>
      <c r="B8" s="9" t="s">
        <v>55</v>
      </c>
      <c r="C8" s="121">
        <f>'Turn '!F7</f>
        <v>0</v>
      </c>
      <c r="D8" s="121">
        <f>'Turn '!H7</f>
        <v>0</v>
      </c>
      <c r="E8" s="121">
        <f>'Turn '!J7</f>
        <v>0</v>
      </c>
      <c r="F8" s="121">
        <f>Ski!F7</f>
        <v>0</v>
      </c>
      <c r="G8" s="121">
        <f>Ski!H7</f>
        <v>0</v>
      </c>
      <c r="H8" s="121">
        <f>Ski!J7</f>
        <v>0</v>
      </c>
      <c r="I8" s="121">
        <f>Fotball!F7</f>
        <v>0</v>
      </c>
      <c r="J8" s="121">
        <f>Fotball!H7</f>
        <v>0</v>
      </c>
      <c r="K8" s="121">
        <f>Fotball!J7</f>
        <v>0</v>
      </c>
      <c r="L8" s="121">
        <f>Sykkel!F7</f>
        <v>0</v>
      </c>
      <c r="M8" s="121">
        <f>Sykkel!H7</f>
        <v>0</v>
      </c>
      <c r="N8" s="121">
        <f>Sykkel!J7</f>
        <v>0</v>
      </c>
      <c r="O8" s="43">
        <f>'G &amp; T'!D7</f>
        <v>0</v>
      </c>
      <c r="P8" s="43">
        <f>'G &amp; T'!F7</f>
        <v>0</v>
      </c>
      <c r="Q8" s="43">
        <f>'G &amp; T'!G7</f>
        <v>0</v>
      </c>
      <c r="R8" s="121">
        <f>TKD!D7</f>
        <v>0</v>
      </c>
      <c r="S8" s="121"/>
      <c r="T8" s="121">
        <f>TKD!E7</f>
        <v>0</v>
      </c>
      <c r="U8" s="121">
        <f>'G &amp; T'!F7+Hovedlaget!F7+Anlegg!F7+Blilie!F7+Prestmarka!F7</f>
        <v>6184.51</v>
      </c>
      <c r="V8" s="121">
        <f>'G &amp; T'!H7+Hovedlaget!H7+Anlegg!H7+Blilie!H7+Prestmarka!H7</f>
        <v>8107.48</v>
      </c>
      <c r="W8" s="121">
        <f>'G &amp; T'!J7+Hovedlaget!J7+Anlegg!J7+Blilie!J7+Prestmarka!J7</f>
        <v>8500</v>
      </c>
      <c r="X8" s="43"/>
      <c r="Y8" s="43"/>
      <c r="Z8" s="43"/>
      <c r="AA8" s="164">
        <f t="shared" si="0"/>
        <v>6184.51</v>
      </c>
      <c r="AB8" s="164">
        <f>'Turn '!E7+Ski!E7+Fotball!E7+Sykkel!E7+'G &amp; T'!E7+Hovedlaget!E7+Anlegg!E7+Blilie!E7+Prestmarka!E7</f>
        <v>5397</v>
      </c>
      <c r="AC8" s="164">
        <f t="shared" si="1"/>
        <v>8107.48</v>
      </c>
      <c r="AD8" s="44">
        <f t="shared" si="2"/>
        <v>8500</v>
      </c>
    </row>
    <row r="9" spans="1:30" ht="19.149999999999999" customHeight="1" x14ac:dyDescent="0.25">
      <c r="A9" s="9">
        <v>3605</v>
      </c>
      <c r="B9" s="9" t="s">
        <v>91</v>
      </c>
      <c r="C9" s="121">
        <f>'Turn '!F8</f>
        <v>0</v>
      </c>
      <c r="D9" s="121">
        <f>'Turn '!H8</f>
        <v>0</v>
      </c>
      <c r="E9" s="121">
        <f>'Turn '!J8</f>
        <v>0</v>
      </c>
      <c r="F9" s="121">
        <f>Ski!F8</f>
        <v>0</v>
      </c>
      <c r="G9" s="121">
        <f>Ski!H8</f>
        <v>0</v>
      </c>
      <c r="H9" s="121">
        <f>Ski!J8</f>
        <v>0</v>
      </c>
      <c r="I9" s="121">
        <f>Fotball!F8</f>
        <v>0</v>
      </c>
      <c r="J9" s="121">
        <f>Fotball!H8</f>
        <v>0</v>
      </c>
      <c r="K9" s="121">
        <f>Fotball!J8</f>
        <v>0</v>
      </c>
      <c r="L9" s="121">
        <f>Sykkel!F8</f>
        <v>0</v>
      </c>
      <c r="M9" s="121">
        <f>Sykkel!H8</f>
        <v>0</v>
      </c>
      <c r="N9" s="121">
        <f>Sykkel!J8</f>
        <v>0</v>
      </c>
      <c r="O9" s="43">
        <f>'G &amp; T'!D8</f>
        <v>0</v>
      </c>
      <c r="P9" s="43">
        <f>'G &amp; T'!F8</f>
        <v>0</v>
      </c>
      <c r="Q9" s="43">
        <f>'G &amp; T'!G8</f>
        <v>0</v>
      </c>
      <c r="R9" s="121">
        <f>TKD!D8</f>
        <v>0</v>
      </c>
      <c r="S9" s="121"/>
      <c r="T9" s="121">
        <f>TKD!E8</f>
        <v>0</v>
      </c>
      <c r="U9" s="121">
        <f>'G &amp; T'!F8+Hovedlaget!F8+Anlegg!F8+Blilie!F8+Prestmarka!F8</f>
        <v>13450</v>
      </c>
      <c r="V9" s="121">
        <f>'G &amp; T'!H8+Hovedlaget!H8+Anlegg!H8+Blilie!H8+Prestmarka!H8</f>
        <v>9450</v>
      </c>
      <c r="W9" s="121">
        <f>'G &amp; T'!J8+Hovedlaget!J8+Anlegg!J8+Blilie!J8+Prestmarka!J8</f>
        <v>10000</v>
      </c>
      <c r="X9" s="43"/>
      <c r="Y9" s="43"/>
      <c r="Z9" s="43"/>
      <c r="AA9" s="164">
        <f t="shared" si="0"/>
        <v>13450</v>
      </c>
      <c r="AB9" s="164">
        <f>'Turn '!E8+Ski!E8+Fotball!E8+Sykkel!E8+'G &amp; T'!E8+Hovedlaget!E8+Anlegg!E8+Blilie!E8+Prestmarka!E8</f>
        <v>23300</v>
      </c>
      <c r="AC9" s="164">
        <f t="shared" si="1"/>
        <v>9450</v>
      </c>
      <c r="AD9" s="44">
        <f t="shared" si="2"/>
        <v>10000</v>
      </c>
    </row>
    <row r="10" spans="1:30" ht="19.149999999999999" customHeight="1" x14ac:dyDescent="0.25">
      <c r="A10" s="9">
        <v>3620</v>
      </c>
      <c r="B10" s="11" t="s">
        <v>100</v>
      </c>
      <c r="C10" s="121">
        <f>'Turn '!F9</f>
        <v>0</v>
      </c>
      <c r="D10" s="121">
        <f>'Turn '!H9</f>
        <v>0</v>
      </c>
      <c r="E10" s="121">
        <f>'Turn '!J9</f>
        <v>0</v>
      </c>
      <c r="F10" s="121">
        <f>Ski!F9</f>
        <v>0</v>
      </c>
      <c r="G10" s="121">
        <f>Ski!H9</f>
        <v>0</v>
      </c>
      <c r="H10" s="121">
        <f>Ski!J9</f>
        <v>0</v>
      </c>
      <c r="I10" s="121">
        <f>Fotball!F9</f>
        <v>0</v>
      </c>
      <c r="J10" s="121">
        <f>Fotball!H9</f>
        <v>0</v>
      </c>
      <c r="K10" s="121">
        <f>Fotball!J9</f>
        <v>0</v>
      </c>
      <c r="L10" s="121">
        <f>Sykkel!F9</f>
        <v>0</v>
      </c>
      <c r="M10" s="121">
        <f>Sykkel!H9</f>
        <v>0</v>
      </c>
      <c r="N10" s="121">
        <f>Sykkel!J9</f>
        <v>0</v>
      </c>
      <c r="O10" s="43">
        <f>'G &amp; T'!D9</f>
        <v>0</v>
      </c>
      <c r="P10" s="43">
        <f>'G &amp; T'!F9</f>
        <v>0</v>
      </c>
      <c r="Q10" s="43">
        <f>'G &amp; T'!G9</f>
        <v>0</v>
      </c>
      <c r="R10" s="121">
        <f>TKD!D9</f>
        <v>0</v>
      </c>
      <c r="S10" s="121"/>
      <c r="T10" s="121">
        <f>TKD!E9</f>
        <v>0</v>
      </c>
      <c r="U10" s="121">
        <f>'G &amp; T'!F9+Hovedlaget!F9+Anlegg!F9+Blilie!F9+Prestmarka!F9</f>
        <v>0</v>
      </c>
      <c r="V10" s="121">
        <f>'G &amp; T'!H9+Hovedlaget!H9+Anlegg!H9+Blilie!H9+Prestmarka!H9</f>
        <v>0</v>
      </c>
      <c r="W10" s="121">
        <f>'G &amp; T'!J9+Hovedlaget!J9+Anlegg!J9+Blilie!J9+Prestmarka!J9</f>
        <v>0</v>
      </c>
      <c r="X10" s="43"/>
      <c r="Y10" s="43"/>
      <c r="Z10" s="43"/>
      <c r="AA10" s="164">
        <f t="shared" si="0"/>
        <v>0</v>
      </c>
      <c r="AB10" s="164">
        <f>'Turn '!E9+Ski!E9+Fotball!E9+Sykkel!E9+'G &amp; T'!E9+Hovedlaget!E9+Anlegg!E9+Blilie!E9+Prestmarka!E9</f>
        <v>222750</v>
      </c>
      <c r="AC10" s="164">
        <f t="shared" si="1"/>
        <v>0</v>
      </c>
      <c r="AD10" s="44">
        <f t="shared" si="2"/>
        <v>0</v>
      </c>
    </row>
    <row r="11" spans="1:30" ht="19.149999999999999" customHeight="1" x14ac:dyDescent="0.25">
      <c r="A11" s="9">
        <v>3920</v>
      </c>
      <c r="B11" s="9" t="s">
        <v>126</v>
      </c>
      <c r="C11" s="121">
        <f>'Turn '!F10</f>
        <v>0</v>
      </c>
      <c r="D11" s="121">
        <f>'Turn '!H10</f>
        <v>0</v>
      </c>
      <c r="E11" s="121">
        <f>'Turn '!J10</f>
        <v>0</v>
      </c>
      <c r="F11" s="121">
        <f>Ski!F10</f>
        <v>0</v>
      </c>
      <c r="G11" s="121">
        <f>Ski!H10</f>
        <v>0</v>
      </c>
      <c r="H11" s="121">
        <f>Ski!J10</f>
        <v>0</v>
      </c>
      <c r="I11" s="121">
        <f>Fotball!F10</f>
        <v>0</v>
      </c>
      <c r="J11" s="121">
        <f>Fotball!H10</f>
        <v>400</v>
      </c>
      <c r="K11" s="121">
        <f>Fotball!J10</f>
        <v>0</v>
      </c>
      <c r="L11" s="121">
        <f>Sykkel!F10</f>
        <v>0</v>
      </c>
      <c r="M11" s="121">
        <f>Sykkel!H10</f>
        <v>0</v>
      </c>
      <c r="N11" s="121">
        <f>Sykkel!J10</f>
        <v>0</v>
      </c>
      <c r="O11" s="43">
        <f>'G &amp; T'!D10</f>
        <v>0</v>
      </c>
      <c r="P11" s="43">
        <f>'G &amp; T'!F10</f>
        <v>0</v>
      </c>
      <c r="Q11" s="43">
        <f>'G &amp; T'!G10</f>
        <v>0</v>
      </c>
      <c r="R11" s="121">
        <f>TKD!D10</f>
        <v>0</v>
      </c>
      <c r="S11" s="121"/>
      <c r="T11" s="121">
        <f>TKD!E10</f>
        <v>0</v>
      </c>
      <c r="U11" s="121">
        <f>'G &amp; T'!F10+Hovedlaget!F10+Anlegg!F10+Blilie!F10+Prestmarka!F10</f>
        <v>38450</v>
      </c>
      <c r="V11" s="121">
        <f>'G &amp; T'!H10+Hovedlaget!H10+Anlegg!H10+Blilie!H10+Prestmarka!H10</f>
        <v>32850</v>
      </c>
      <c r="W11" s="121">
        <f>'G &amp; T'!J10+Hovedlaget!J10+Anlegg!J10+Blilie!J10+Prestmarka!J10</f>
        <v>30000</v>
      </c>
      <c r="X11" s="43">
        <f>Anlegg!D10+Blilie!D10+Prestmarka!D10</f>
        <v>0</v>
      </c>
      <c r="Y11" s="43">
        <f>Anlegg!F10+Blilie!F10+Prestmarka!F10</f>
        <v>0</v>
      </c>
      <c r="Z11" s="43">
        <f>Anlegg!G10+Blilie!G10+Prestmarka!G10</f>
        <v>0</v>
      </c>
      <c r="AA11" s="164">
        <f t="shared" si="0"/>
        <v>38450</v>
      </c>
      <c r="AB11" s="164">
        <f>'Turn '!E10+Ski!E10+Fotball!E10+Sykkel!E10+'G &amp; T'!E10+Hovedlaget!E10+Anlegg!E10+Blilie!E10+Prestmarka!E10</f>
        <v>28620</v>
      </c>
      <c r="AC11" s="164">
        <f t="shared" si="1"/>
        <v>33250</v>
      </c>
      <c r="AD11" s="44">
        <f t="shared" si="2"/>
        <v>30000</v>
      </c>
    </row>
    <row r="12" spans="1:30" ht="19.149999999999999" customHeight="1" x14ac:dyDescent="0.25">
      <c r="A12" s="9">
        <v>3925</v>
      </c>
      <c r="B12" s="9" t="s">
        <v>7</v>
      </c>
      <c r="C12" s="121">
        <f>'Turn '!F11</f>
        <v>28850</v>
      </c>
      <c r="D12" s="121">
        <f>'Turn '!H11</f>
        <v>27500</v>
      </c>
      <c r="E12" s="121">
        <f>'Turn '!J11</f>
        <v>30000</v>
      </c>
      <c r="F12" s="121">
        <f>Ski!F11</f>
        <v>14400</v>
      </c>
      <c r="G12" s="121">
        <f>Ski!H11</f>
        <v>8550</v>
      </c>
      <c r="H12" s="121">
        <f>Ski!J11</f>
        <v>10000</v>
      </c>
      <c r="I12" s="121">
        <f>Fotball!F11</f>
        <v>237758</v>
      </c>
      <c r="J12" s="121">
        <f>Fotball!H11</f>
        <v>220803</v>
      </c>
      <c r="K12" s="121">
        <f>Fotball!J11</f>
        <v>154250</v>
      </c>
      <c r="L12" s="121">
        <f>Sykkel!F11</f>
        <v>0</v>
      </c>
      <c r="M12" s="121">
        <f>Sykkel!H11</f>
        <v>0</v>
      </c>
      <c r="N12" s="121">
        <f>Sykkel!J11</f>
        <v>0</v>
      </c>
      <c r="O12" s="43">
        <f>'G &amp; T'!D11</f>
        <v>0</v>
      </c>
      <c r="P12" s="43">
        <f>'G &amp; T'!F11</f>
        <v>0</v>
      </c>
      <c r="Q12" s="43">
        <f>'G &amp; T'!G11</f>
        <v>0</v>
      </c>
      <c r="R12" s="121">
        <f>TKD!D11</f>
        <v>12000</v>
      </c>
      <c r="S12" s="121"/>
      <c r="T12" s="121">
        <f>TKD!E11</f>
        <v>32000</v>
      </c>
      <c r="U12" s="121">
        <f>'G &amp; T'!F11+Hovedlaget!F11+Anlegg!F11+Blilie!F11+Prestmarka!F11</f>
        <v>0</v>
      </c>
      <c r="V12" s="121">
        <f>'G &amp; T'!H11+Hovedlaget!H11+Anlegg!H11+Blilie!H11+Prestmarka!H11</f>
        <v>0</v>
      </c>
      <c r="W12" s="121">
        <f>'G &amp; T'!J11+Hovedlaget!J11+Anlegg!J11+Blilie!J11+Prestmarka!J11</f>
        <v>0</v>
      </c>
      <c r="X12" s="43">
        <f>Anlegg!D11+Blilie!D11+Prestmarka!D11</f>
        <v>0</v>
      </c>
      <c r="Y12" s="43">
        <f>Anlegg!F11+Blilie!F11+Prestmarka!F11</f>
        <v>0</v>
      </c>
      <c r="Z12" s="43">
        <f>Anlegg!G11+Blilie!G11+Prestmarka!G11</f>
        <v>0</v>
      </c>
      <c r="AA12" s="164">
        <f t="shared" si="0"/>
        <v>281008</v>
      </c>
      <c r="AB12" s="164">
        <f>'Turn '!E11+Ski!E11+Fotball!E11+Sykkel!E11+'G &amp; T'!E11+Hovedlaget!E11+Anlegg!E11+Blilie!E11+Prestmarka!E11</f>
        <v>204000</v>
      </c>
      <c r="AC12" s="164">
        <f>D12+G12+J12+M12+V12+R12</f>
        <v>268853</v>
      </c>
      <c r="AD12" s="44">
        <f t="shared" si="2"/>
        <v>226250</v>
      </c>
    </row>
    <row r="13" spans="1:30" ht="19.149999999999999" customHeight="1" x14ac:dyDescent="0.25">
      <c r="A13" s="9">
        <v>3926</v>
      </c>
      <c r="B13" s="9" t="s">
        <v>13</v>
      </c>
      <c r="C13" s="121">
        <f>'Turn '!F12</f>
        <v>0</v>
      </c>
      <c r="D13" s="121">
        <f>'Turn '!H12</f>
        <v>0</v>
      </c>
      <c r="E13" s="121">
        <f>'Turn '!J12</f>
        <v>0</v>
      </c>
      <c r="F13" s="121">
        <f>Ski!F12</f>
        <v>0</v>
      </c>
      <c r="G13" s="121">
        <f>Ski!H12</f>
        <v>0</v>
      </c>
      <c r="H13" s="121">
        <f>Ski!J12</f>
        <v>0</v>
      </c>
      <c r="I13" s="121">
        <f>Fotball!F12</f>
        <v>0</v>
      </c>
      <c r="J13" s="121">
        <f>Fotball!H12</f>
        <v>0</v>
      </c>
      <c r="K13" s="121">
        <f>Fotball!J12</f>
        <v>0</v>
      </c>
      <c r="L13" s="121">
        <f>Sykkel!F12</f>
        <v>0</v>
      </c>
      <c r="M13" s="121">
        <f>Sykkel!H12</f>
        <v>0</v>
      </c>
      <c r="N13" s="121">
        <f>Sykkel!J12</f>
        <v>0</v>
      </c>
      <c r="O13" s="43">
        <f>'G &amp; T'!D12</f>
        <v>0</v>
      </c>
      <c r="P13" s="43">
        <f>'G &amp; T'!F12</f>
        <v>0</v>
      </c>
      <c r="Q13" s="43">
        <f>'G &amp; T'!G12</f>
        <v>0</v>
      </c>
      <c r="R13" s="121">
        <f>TKD!D12</f>
        <v>0</v>
      </c>
      <c r="S13" s="121"/>
      <c r="T13" s="121">
        <f>TKD!E12</f>
        <v>0</v>
      </c>
      <c r="U13" s="121">
        <f>'G &amp; T'!F12+Hovedlaget!F12+Anlegg!F12+Blilie!F12+Prestmarka!F12</f>
        <v>69198</v>
      </c>
      <c r="V13" s="121">
        <f>'G &amp; T'!H12+Hovedlaget!H12+Anlegg!H12+Blilie!H12+Prestmarka!H12</f>
        <v>97413</v>
      </c>
      <c r="W13" s="121">
        <f>'G &amp; T'!J12+Hovedlaget!J12+Anlegg!J12+Blilie!J12+Prestmarka!J12</f>
        <v>58000</v>
      </c>
      <c r="X13" s="43" t="e">
        <f>Anlegg!D12+Blilie!D12+Prestmarka!#REF!</f>
        <v>#REF!</v>
      </c>
      <c r="Y13" s="43">
        <f>Anlegg!F12+Blilie!F12+Prestmarka!F12</f>
        <v>0</v>
      </c>
      <c r="Z13" s="43">
        <f>Anlegg!G12+Blilie!G12+Prestmarka!G12</f>
        <v>0</v>
      </c>
      <c r="AA13" s="164">
        <f t="shared" si="0"/>
        <v>69198</v>
      </c>
      <c r="AB13" s="164">
        <f>'Turn '!E12+Ski!E12+Fotball!E12+Sykkel!E12+'G &amp; T'!E12+Hovedlaget!E12+Anlegg!E12+Blilie!E12+Prestmarka!E12</f>
        <v>62202</v>
      </c>
      <c r="AC13" s="164">
        <f t="shared" si="1"/>
        <v>97413</v>
      </c>
      <c r="AD13" s="44">
        <f t="shared" si="2"/>
        <v>58000</v>
      </c>
    </row>
    <row r="14" spans="1:30" ht="19.149999999999999" customHeight="1" x14ac:dyDescent="0.25">
      <c r="A14" s="9">
        <v>3950</v>
      </c>
      <c r="B14" s="9" t="s">
        <v>9</v>
      </c>
      <c r="C14" s="121">
        <f>'Turn '!F13</f>
        <v>4200</v>
      </c>
      <c r="D14" s="121">
        <f>'Turn '!H13</f>
        <v>51181</v>
      </c>
      <c r="E14" s="121">
        <f>'Turn '!J13</f>
        <v>36400</v>
      </c>
      <c r="F14" s="121">
        <f>Ski!F13</f>
        <v>11295</v>
      </c>
      <c r="G14" s="121">
        <f>Ski!H13</f>
        <v>31850</v>
      </c>
      <c r="H14" s="121">
        <f>Ski!J13</f>
        <v>12000</v>
      </c>
      <c r="I14" s="121">
        <f>Fotball!F13</f>
        <v>26000</v>
      </c>
      <c r="J14" s="121">
        <f>Fotball!H13</f>
        <v>33395</v>
      </c>
      <c r="K14" s="121">
        <f>Fotball!J13</f>
        <v>20000</v>
      </c>
      <c r="L14" s="121">
        <f>Sykkel!F13</f>
        <v>50163</v>
      </c>
      <c r="M14" s="121">
        <f>Sykkel!H13</f>
        <v>0</v>
      </c>
      <c r="N14" s="121">
        <f>Sykkel!J13</f>
        <v>0</v>
      </c>
      <c r="O14" s="43"/>
      <c r="P14" s="43"/>
      <c r="Q14" s="43"/>
      <c r="R14" s="121">
        <f>TKD!D13</f>
        <v>0</v>
      </c>
      <c r="S14" s="121"/>
      <c r="T14" s="121">
        <f>TKD!E13</f>
        <v>0</v>
      </c>
      <c r="U14" s="121">
        <f>'G &amp; T'!F13+Hovedlaget!F13+Anlegg!F13+Blilie!F13+Prestmarka!F13</f>
        <v>0</v>
      </c>
      <c r="V14" s="121">
        <f>'G &amp; T'!H13+Hovedlaget!H13+Anlegg!H13+Blilie!H13+Prestmarka!H13</f>
        <v>0</v>
      </c>
      <c r="W14" s="121">
        <f>'G &amp; T'!J13+Hovedlaget!J13+Anlegg!J13+Blilie!J13+Prestmarka!J13</f>
        <v>0</v>
      </c>
      <c r="X14" s="43">
        <f>Anlegg!D13+Blilie!D13+Prestmarka!D13</f>
        <v>0</v>
      </c>
      <c r="Y14" s="43">
        <f>Anlegg!F13+Blilie!F13+Prestmarka!F13</f>
        <v>0</v>
      </c>
      <c r="Z14" s="43">
        <f>Anlegg!G13+Blilie!G13+Prestmarka!G13</f>
        <v>0</v>
      </c>
      <c r="AA14" s="164">
        <f>C14+F14+I14+L14+U14</f>
        <v>91658</v>
      </c>
      <c r="AB14" s="164">
        <f>'Turn '!E13+Ski!E13+Fotball!E13+Sykkel!E13+'G &amp; T'!E13+Hovedlaget!E13+Anlegg!E13+Blilie!E13+Prestmarka!E13</f>
        <v>127807</v>
      </c>
      <c r="AC14" s="164">
        <f t="shared" si="1"/>
        <v>116426</v>
      </c>
      <c r="AD14" s="44">
        <f t="shared" si="2"/>
        <v>68400</v>
      </c>
    </row>
    <row r="15" spans="1:30" ht="19.149999999999999" customHeight="1" x14ac:dyDescent="0.25">
      <c r="A15" s="9">
        <v>3970</v>
      </c>
      <c r="B15" s="9" t="s">
        <v>10</v>
      </c>
      <c r="C15" s="121">
        <f>'Turn '!F14</f>
        <v>0</v>
      </c>
      <c r="D15" s="121">
        <f>'Turn '!H14</f>
        <v>0</v>
      </c>
      <c r="E15" s="121">
        <f>'Turn '!J14</f>
        <v>0</v>
      </c>
      <c r="F15" s="121">
        <f>Ski!F14</f>
        <v>0</v>
      </c>
      <c r="G15" s="121">
        <f>Ski!H14</f>
        <v>0</v>
      </c>
      <c r="H15" s="121">
        <f>Ski!J14</f>
        <v>0</v>
      </c>
      <c r="I15" s="121">
        <f>Fotball!F14</f>
        <v>46000</v>
      </c>
      <c r="J15" s="121">
        <f>Fotball!H14</f>
        <v>9000</v>
      </c>
      <c r="K15" s="121">
        <f>Fotball!J14</f>
        <v>21000</v>
      </c>
      <c r="L15" s="121">
        <f>Sykkel!F14</f>
        <v>0</v>
      </c>
      <c r="M15" s="121">
        <f>Sykkel!H14</f>
        <v>0</v>
      </c>
      <c r="N15" s="121">
        <f>Sykkel!J14</f>
        <v>0</v>
      </c>
      <c r="O15" s="43"/>
      <c r="P15" s="43"/>
      <c r="Q15" s="43"/>
      <c r="R15" s="121">
        <f>TKD!D14</f>
        <v>0</v>
      </c>
      <c r="S15" s="121"/>
      <c r="T15" s="121">
        <f>TKD!E14</f>
        <v>0</v>
      </c>
      <c r="U15" s="121">
        <f>'G &amp; T'!F14+Hovedlaget!F14+Anlegg!F14+Blilie!F14+Prestmarka!F14</f>
        <v>153000</v>
      </c>
      <c r="V15" s="121">
        <f>'G &amp; T'!H14+Hovedlaget!H14+Anlegg!H14+Blilie!H14+Prestmarka!H14</f>
        <v>148817</v>
      </c>
      <c r="W15" s="121">
        <f>'G &amp; T'!J14+Hovedlaget!J14+Anlegg!J14+Blilie!J14+Prestmarka!J14</f>
        <v>150000</v>
      </c>
      <c r="X15" s="43">
        <f>Anlegg!D14+Blilie!D14+Prestmarka!D14</f>
        <v>0</v>
      </c>
      <c r="Y15" s="43">
        <f>Anlegg!F14+Blilie!F14+Prestmarka!F14</f>
        <v>0</v>
      </c>
      <c r="Z15" s="43">
        <f>Anlegg!G14+Blilie!G14+Prestmarka!G14</f>
        <v>0</v>
      </c>
      <c r="AA15" s="164">
        <f>C15+F15+I15+L15+U15</f>
        <v>199000</v>
      </c>
      <c r="AB15" s="164">
        <f>'Turn '!E14+Ski!E14+Fotball!E14+Sykkel!E14+'G &amp; T'!E14+Hovedlaget!E14+Anlegg!E14+Blilie!E14+Prestmarka!E14</f>
        <v>124200</v>
      </c>
      <c r="AC15" s="164">
        <f t="shared" si="1"/>
        <v>157817</v>
      </c>
      <c r="AD15" s="44">
        <f t="shared" si="2"/>
        <v>171000</v>
      </c>
    </row>
    <row r="16" spans="1:30" ht="19.149999999999999" customHeight="1" x14ac:dyDescent="0.25">
      <c r="A16" s="9">
        <v>3975</v>
      </c>
      <c r="B16" s="9" t="s">
        <v>11</v>
      </c>
      <c r="C16" s="121">
        <f>'Turn '!F15</f>
        <v>35776</v>
      </c>
      <c r="D16" s="121">
        <f>'Turn '!H15</f>
        <v>-36954</v>
      </c>
      <c r="E16" s="121">
        <f>'Turn '!J15</f>
        <v>36100</v>
      </c>
      <c r="F16" s="121">
        <f>Ski!F15</f>
        <v>0</v>
      </c>
      <c r="G16" s="121">
        <f>Ski!H15</f>
        <v>0</v>
      </c>
      <c r="H16" s="121">
        <f>Ski!J15</f>
        <v>6000</v>
      </c>
      <c r="I16" s="121">
        <f>Fotball!F15</f>
        <v>604339</v>
      </c>
      <c r="J16" s="121">
        <f>Fotball!H15</f>
        <v>116124</v>
      </c>
      <c r="K16" s="121">
        <f>Fotball!J15</f>
        <v>90500</v>
      </c>
      <c r="L16" s="121">
        <f>Sykkel!F15</f>
        <v>0</v>
      </c>
      <c r="M16" s="121">
        <f>Sykkel!H15</f>
        <v>0</v>
      </c>
      <c r="N16" s="121">
        <f>Sykkel!J15</f>
        <v>0</v>
      </c>
      <c r="O16" s="43"/>
      <c r="P16" s="43"/>
      <c r="Q16" s="43"/>
      <c r="R16" s="121">
        <f>TKD!D15</f>
        <v>0</v>
      </c>
      <c r="S16" s="121"/>
      <c r="T16" s="121">
        <f>TKD!E15</f>
        <v>0</v>
      </c>
      <c r="U16" s="121">
        <f>'G &amp; T'!F15+Hovedlaget!F15+Anlegg!F15+Blilie!F15+Prestmarka!F15</f>
        <v>76250</v>
      </c>
      <c r="V16" s="121">
        <f>'G &amp; T'!H15+Hovedlaget!H15+Anlegg!H15+Blilie!H15+Prestmarka!H15</f>
        <v>96457</v>
      </c>
      <c r="W16" s="121">
        <f>'G &amp; T'!J15+Hovedlaget!J15+Anlegg!J15+Blilie!J15+Prestmarka!J15</f>
        <v>80000</v>
      </c>
      <c r="X16" s="43">
        <f>Anlegg!D15+Blilie!D15+Prestmarka!D15</f>
        <v>0</v>
      </c>
      <c r="Y16" s="43">
        <f>Anlegg!F15+Blilie!F15+Prestmarka!F15</f>
        <v>0</v>
      </c>
      <c r="Z16" s="43">
        <f>Anlegg!G15+Blilie!G15+Prestmarka!G15</f>
        <v>0</v>
      </c>
      <c r="AA16" s="164">
        <f t="shared" si="0"/>
        <v>716365</v>
      </c>
      <c r="AB16" s="164">
        <f>'Turn '!E15+Ski!E15+Fotball!E15+Sykkel!E15+'G &amp; T'!E15+Hovedlaget!E15+Anlegg!E15+Blilie!E15+Prestmarka!E15</f>
        <v>394701</v>
      </c>
      <c r="AC16" s="164">
        <f t="shared" si="1"/>
        <v>175627</v>
      </c>
      <c r="AD16" s="44">
        <f t="shared" si="2"/>
        <v>212600</v>
      </c>
    </row>
    <row r="17" spans="1:30" ht="19.149999999999999" customHeight="1" x14ac:dyDescent="0.25">
      <c r="A17" s="9">
        <v>3980</v>
      </c>
      <c r="B17" s="9" t="s">
        <v>12</v>
      </c>
      <c r="C17" s="121">
        <f>'Turn '!F16</f>
        <v>0</v>
      </c>
      <c r="D17" s="121">
        <f>'Turn '!H16</f>
        <v>14355</v>
      </c>
      <c r="E17" s="121">
        <f>'Turn '!J16</f>
        <v>0</v>
      </c>
      <c r="F17" s="121">
        <f>Ski!F16</f>
        <v>0</v>
      </c>
      <c r="G17" s="121">
        <f>Ski!H16</f>
        <v>0</v>
      </c>
      <c r="H17" s="121">
        <f>Ski!J16</f>
        <v>0</v>
      </c>
      <c r="I17" s="121">
        <f>Fotball!F16</f>
        <v>0</v>
      </c>
      <c r="J17" s="121">
        <f>Fotball!H16</f>
        <v>0</v>
      </c>
      <c r="K17" s="121">
        <f>Fotball!J16</f>
        <v>0</v>
      </c>
      <c r="L17" s="121">
        <f>Sykkel!F16</f>
        <v>0</v>
      </c>
      <c r="M17" s="121">
        <f>Sykkel!H16</f>
        <v>0</v>
      </c>
      <c r="N17" s="121">
        <f>Sykkel!J16</f>
        <v>0</v>
      </c>
      <c r="O17" s="43"/>
      <c r="P17" s="43"/>
      <c r="Q17" s="43"/>
      <c r="R17" s="121">
        <f>TKD!D16</f>
        <v>0</v>
      </c>
      <c r="S17" s="121"/>
      <c r="T17" s="121">
        <f>TKD!E16</f>
        <v>0</v>
      </c>
      <c r="U17" s="121">
        <f>'G &amp; T'!F16+Hovedlaget!F16+Anlegg!F16+Blilie!F16+Prestmarka!F16</f>
        <v>14654</v>
      </c>
      <c r="V17" s="121">
        <f>'G &amp; T'!H16+Hovedlaget!H16+Anlegg!H16+Blilie!H16+Prestmarka!H16</f>
        <v>59697</v>
      </c>
      <c r="W17" s="121">
        <f>'G &amp; T'!J16+Hovedlaget!J16+Anlegg!J16+Blilie!J16+Prestmarka!J16</f>
        <v>0</v>
      </c>
      <c r="X17" s="43">
        <f>Anlegg!D16+Blilie!D16+Prestmarka!D16</f>
        <v>0</v>
      </c>
      <c r="Y17" s="43">
        <f>Anlegg!F16+Blilie!F16+Prestmarka!F16</f>
        <v>0</v>
      </c>
      <c r="Z17" s="43">
        <f>Anlegg!G16+Blilie!G16+Prestmarka!G16</f>
        <v>0</v>
      </c>
      <c r="AA17" s="164">
        <f t="shared" si="0"/>
        <v>14654</v>
      </c>
      <c r="AB17" s="164">
        <f>'Turn '!E16+Ski!E16+Fotball!E16+Sykkel!E16+'G &amp; T'!E16+Hovedlaget!E16+Anlegg!E16+Blilie!E16+Prestmarka!E16</f>
        <v>1406</v>
      </c>
      <c r="AC17" s="164">
        <f t="shared" si="1"/>
        <v>74052</v>
      </c>
      <c r="AD17" s="44">
        <f t="shared" si="2"/>
        <v>0</v>
      </c>
    </row>
    <row r="18" spans="1:30" ht="19.149999999999999" customHeight="1" x14ac:dyDescent="0.25">
      <c r="A18" s="9">
        <v>3990</v>
      </c>
      <c r="B18" s="11" t="s">
        <v>8</v>
      </c>
      <c r="C18" s="121">
        <f>'Turn '!F17</f>
        <v>0</v>
      </c>
      <c r="D18" s="121">
        <f>'Turn '!H17</f>
        <v>0</v>
      </c>
      <c r="E18" s="121">
        <f>'Turn '!J17</f>
        <v>0</v>
      </c>
      <c r="F18" s="121">
        <f>Ski!F17</f>
        <v>0</v>
      </c>
      <c r="G18" s="121">
        <f>Ski!H17</f>
        <v>3333</v>
      </c>
      <c r="H18" s="121">
        <f>Ski!J17</f>
        <v>3500</v>
      </c>
      <c r="I18" s="121">
        <f>Fotball!F17</f>
        <v>0</v>
      </c>
      <c r="J18" s="121">
        <f>Fotball!H17</f>
        <v>0</v>
      </c>
      <c r="K18" s="121">
        <f>Fotball!J17</f>
        <v>0</v>
      </c>
      <c r="L18" s="121">
        <f>Sykkel!F17</f>
        <v>0</v>
      </c>
      <c r="M18" s="121">
        <f>Sykkel!H17</f>
        <v>0</v>
      </c>
      <c r="N18" s="121">
        <f>Sykkel!J17</f>
        <v>0</v>
      </c>
      <c r="O18" s="43"/>
      <c r="P18" s="43"/>
      <c r="Q18" s="43"/>
      <c r="R18" s="121">
        <f>TKD!D17</f>
        <v>0</v>
      </c>
      <c r="S18" s="121"/>
      <c r="T18" s="121">
        <f>TKD!E17</f>
        <v>0</v>
      </c>
      <c r="U18" s="121">
        <f>'G &amp; T'!F17+Hovedlaget!F17+Anlegg!F17+Blilie!F17+Prestmarka!F17</f>
        <v>80195.510000000009</v>
      </c>
      <c r="V18" s="121">
        <f>'G &amp; T'!H17+Hovedlaget!H17+Anlegg!H17+Blilie!H17+Prestmarka!H17</f>
        <v>57931.95</v>
      </c>
      <c r="W18" s="121">
        <f>'G &amp; T'!J17+Hovedlaget!J17+Anlegg!J17+Blilie!J17+Prestmarka!J17</f>
        <v>55000</v>
      </c>
      <c r="X18" s="43">
        <f>Anlegg!D17+Blilie!D17+Prestmarka!D17</f>
        <v>0</v>
      </c>
      <c r="Y18" s="43">
        <f>Anlegg!F17+Blilie!F17+Prestmarka!F17</f>
        <v>31000</v>
      </c>
      <c r="Z18" s="43">
        <f>Anlegg!G17+Blilie!G17+Prestmarka!G17</f>
        <v>31000</v>
      </c>
      <c r="AA18" s="164">
        <f>C18+F18+I18+L108+U18</f>
        <v>80195.510000000009</v>
      </c>
      <c r="AB18" s="164">
        <f>'Turn '!E17+Ski!E17+Fotball!E17+Sykkel!E17+'G &amp; T'!E17+Hovedlaget!E17+Anlegg!E17+Blilie!E17+Prestmarka!E17</f>
        <v>82080</v>
      </c>
      <c r="AC18" s="164">
        <f t="shared" si="1"/>
        <v>61264.95</v>
      </c>
      <c r="AD18" s="44">
        <f t="shared" si="2"/>
        <v>58500</v>
      </c>
    </row>
    <row r="19" spans="1:30" ht="19.149999999999999" customHeight="1" x14ac:dyDescent="0.25">
      <c r="A19" s="9"/>
      <c r="B19" s="153" t="s">
        <v>14</v>
      </c>
      <c r="C19" s="162">
        <f>SUM(C5:C18)</f>
        <v>110024</v>
      </c>
      <c r="D19" s="162">
        <f t="shared" ref="D19:E19" si="3">SUM(D5:D18)</f>
        <v>107069</v>
      </c>
      <c r="E19" s="162">
        <f t="shared" si="3"/>
        <v>144500</v>
      </c>
      <c r="F19" s="162">
        <f t="shared" ref="F19" si="4">SUM(F5:F18)</f>
        <v>39202</v>
      </c>
      <c r="G19" s="162">
        <f t="shared" ref="G19" si="5">SUM(G5:G18)</f>
        <v>71565</v>
      </c>
      <c r="H19" s="162">
        <f t="shared" ref="H19" si="6">SUM(H5:H18)</f>
        <v>51500</v>
      </c>
      <c r="I19" s="162">
        <f t="shared" ref="I19" si="7">SUM(I5:I18)</f>
        <v>1040392</v>
      </c>
      <c r="J19" s="162">
        <f t="shared" ref="J19:K19" si="8">SUM(J5:J18)</f>
        <v>497598</v>
      </c>
      <c r="K19" s="162">
        <f t="shared" si="8"/>
        <v>339250</v>
      </c>
      <c r="L19" s="162">
        <f t="shared" ref="L19" si="9">SUM(L5:L18)</f>
        <v>51163</v>
      </c>
      <c r="M19" s="162">
        <f t="shared" ref="M19" si="10">SUM(M5:M18)</f>
        <v>0</v>
      </c>
      <c r="N19" s="162">
        <f t="shared" ref="N19" si="11">SUM(N5:N18)</f>
        <v>0</v>
      </c>
      <c r="O19" s="162">
        <f t="shared" ref="O19" si="12">SUM(O5:O18)</f>
        <v>0</v>
      </c>
      <c r="P19" s="162">
        <f t="shared" ref="P19" si="13">SUM(P5:P18)</f>
        <v>0</v>
      </c>
      <c r="Q19" s="162">
        <f t="shared" ref="Q19:Z19" si="14">SUM(Q5:Q18)</f>
        <v>0</v>
      </c>
      <c r="R19" s="162">
        <f t="shared" si="14"/>
        <v>12000</v>
      </c>
      <c r="S19" s="162">
        <f t="shared" si="14"/>
        <v>0</v>
      </c>
      <c r="T19" s="162">
        <f t="shared" si="14"/>
        <v>36800</v>
      </c>
      <c r="U19" s="162">
        <f t="shared" si="14"/>
        <v>827406.62</v>
      </c>
      <c r="V19" s="162">
        <f t="shared" si="14"/>
        <v>730464.42999999993</v>
      </c>
      <c r="W19" s="162">
        <f t="shared" si="14"/>
        <v>621500</v>
      </c>
      <c r="X19" s="38" t="e">
        <f t="shared" si="14"/>
        <v>#REF!</v>
      </c>
      <c r="Y19" s="38" t="e">
        <f t="shared" si="14"/>
        <v>#REF!</v>
      </c>
      <c r="Z19" s="38">
        <f t="shared" si="14"/>
        <v>31000</v>
      </c>
      <c r="AA19" s="154">
        <f>SUM(AA5:AA18)</f>
        <v>2068187.6199999999</v>
      </c>
      <c r="AB19" s="154">
        <f>SUM(AB5:AB18)</f>
        <v>1642279</v>
      </c>
      <c r="AC19" s="154">
        <f t="shared" ref="AC19:AD19" si="15">SUM(AC5:AC18)</f>
        <v>1418696.43</v>
      </c>
      <c r="AD19" s="154">
        <f t="shared" si="15"/>
        <v>1193550</v>
      </c>
    </row>
    <row r="20" spans="1:30" ht="25.9" customHeight="1" x14ac:dyDescent="0.25">
      <c r="A20" s="9"/>
      <c r="B20" s="12" t="s">
        <v>103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23"/>
      <c r="S20" s="123"/>
      <c r="T20" s="123"/>
      <c r="U20" s="10"/>
      <c r="V20" s="10"/>
      <c r="W20" s="10"/>
      <c r="X20" s="10"/>
      <c r="Y20" s="10"/>
      <c r="Z20" s="10"/>
      <c r="AA20" s="165"/>
      <c r="AB20" s="165"/>
      <c r="AC20" s="165"/>
      <c r="AD20" s="8"/>
    </row>
    <row r="21" spans="1:30" ht="18" customHeight="1" x14ac:dyDescent="0.25">
      <c r="A21" s="9">
        <v>4210</v>
      </c>
      <c r="B21" s="9" t="s">
        <v>16</v>
      </c>
      <c r="C21" s="10">
        <f>'Turn '!F20</f>
        <v>0</v>
      </c>
      <c r="D21" s="10">
        <f>'Turn '!H20</f>
        <v>0</v>
      </c>
      <c r="E21" s="123">
        <f>'Turn '!J20</f>
        <v>600</v>
      </c>
      <c r="F21" s="10">
        <f>Ski!F20</f>
        <v>11667.2</v>
      </c>
      <c r="G21" s="10">
        <f>Ski!H20</f>
        <v>5237</v>
      </c>
      <c r="H21" s="123">
        <f>Ski!J20</f>
        <v>8000</v>
      </c>
      <c r="I21" s="10">
        <f>Fotball!F20</f>
        <v>5733</v>
      </c>
      <c r="J21" s="10">
        <f>Fotball!H20</f>
        <v>0</v>
      </c>
      <c r="K21" s="10">
        <f>Fotball!J20</f>
        <v>6000</v>
      </c>
      <c r="L21" s="10">
        <f>Sykkel!F20</f>
        <v>2061</v>
      </c>
      <c r="M21" s="10">
        <f>Sykkel!H20</f>
        <v>0</v>
      </c>
      <c r="N21" s="10">
        <f>Sykkel!J20</f>
        <v>0</v>
      </c>
      <c r="O21" s="10">
        <f>'G &amp; T'!D20</f>
        <v>0</v>
      </c>
      <c r="P21" s="10">
        <f>'G &amp; T'!F20</f>
        <v>0</v>
      </c>
      <c r="Q21" s="10">
        <f>'G &amp; T'!G20</f>
        <v>0</v>
      </c>
      <c r="R21" s="121">
        <f>TKD!D20</f>
        <v>0</v>
      </c>
      <c r="S21" s="121"/>
      <c r="T21" s="121">
        <f>TKD!E20</f>
        <v>0</v>
      </c>
      <c r="U21" s="121">
        <f>'G &amp; T'!F20+Hovedlaget!F20+Anlegg!F20+Blilie!F20+Prestmarka!F20</f>
        <v>0</v>
      </c>
      <c r="V21" s="121">
        <f>'G &amp; T'!H20+Hovedlaget!H20+Anlegg!H20+Blilie!H20+Prestmarka!H20</f>
        <v>0</v>
      </c>
      <c r="W21" s="121">
        <f>'G &amp; T'!J20+Hovedlaget!J20+Anlegg!J20+Blilie!J20+Prestmarka!J20</f>
        <v>0</v>
      </c>
      <c r="X21" s="10">
        <f>Anlegg!D20+Blilie!D20+Prestmarka!D20</f>
        <v>0</v>
      </c>
      <c r="Y21" s="10">
        <f>Anlegg!F20+Blilie!F20+Prestmarka!F20</f>
        <v>0</v>
      </c>
      <c r="Z21" s="10">
        <f>Anlegg!G20+Blilie!G20+Prestmarka!G20</f>
        <v>0</v>
      </c>
      <c r="AA21" s="164">
        <f>C21+F21+I21+L21+U21</f>
        <v>19461.2</v>
      </c>
      <c r="AB21" s="165">
        <f>'Turn '!E20+Ski!E20+Fotball!F21+Sykkel!E20+'G &amp; T'!E20+Hovedlaget!E20+Anlegg!E20+Blilie!E20+Prestmarka!E20</f>
        <v>16993</v>
      </c>
      <c r="AC21" s="164">
        <f>D21+G21+J21+M21+V21+R21</f>
        <v>5237</v>
      </c>
      <c r="AD21" s="44">
        <f>E21+H21+K21+N21+Q21+W21+T21+Z21</f>
        <v>14600</v>
      </c>
    </row>
    <row r="22" spans="1:30" ht="18" hidden="1" customHeight="1" x14ac:dyDescent="0.25">
      <c r="A22" s="9">
        <v>4220</v>
      </c>
      <c r="B22" s="9" t="s">
        <v>17</v>
      </c>
      <c r="C22" s="123">
        <f>'Turn '!F21</f>
        <v>0</v>
      </c>
      <c r="D22" s="123">
        <f>'Turn '!H21</f>
        <v>0</v>
      </c>
      <c r="E22" s="123">
        <f>'Turn '!J21</f>
        <v>0</v>
      </c>
      <c r="F22" s="123">
        <f>Ski!F21</f>
        <v>0</v>
      </c>
      <c r="G22" s="123">
        <f>Ski!H21</f>
        <v>0</v>
      </c>
      <c r="H22" s="123">
        <f>Ski!J21</f>
        <v>0</v>
      </c>
      <c r="I22" s="123">
        <f>Fotball!F21</f>
        <v>0</v>
      </c>
      <c r="J22" s="123">
        <f>Fotball!H21</f>
        <v>0</v>
      </c>
      <c r="K22" s="123">
        <f>Fotball!J21</f>
        <v>0</v>
      </c>
      <c r="L22" s="123">
        <f>Sykkel!F21</f>
        <v>0</v>
      </c>
      <c r="M22" s="123">
        <f>Sykkel!H21</f>
        <v>0</v>
      </c>
      <c r="N22" s="123">
        <f>Sykkel!J21</f>
        <v>0</v>
      </c>
      <c r="O22" s="10">
        <f>'G &amp; T'!D21</f>
        <v>0</v>
      </c>
      <c r="P22" s="10">
        <f>'G &amp; T'!F21</f>
        <v>0</v>
      </c>
      <c r="Q22" s="10">
        <f>'G &amp; T'!G21</f>
        <v>0</v>
      </c>
      <c r="R22" s="121">
        <f>TKD!D21</f>
        <v>0</v>
      </c>
      <c r="S22" s="121"/>
      <c r="T22" s="121">
        <f>TKD!E21</f>
        <v>0</v>
      </c>
      <c r="U22" s="121">
        <f>'G &amp; T'!F21+Hovedlaget!F21+Anlegg!F21+Blilie!F21+Prestmarka!F21</f>
        <v>0</v>
      </c>
      <c r="V22" s="121">
        <f>'G &amp; T'!H21+Hovedlaget!H21+Anlegg!H21+Blilie!H21+Prestmarka!H21</f>
        <v>0</v>
      </c>
      <c r="W22" s="121">
        <f>'G &amp; T'!J21+Hovedlaget!J21+Anlegg!J21+Blilie!J21+Prestmarka!J21</f>
        <v>0</v>
      </c>
      <c r="X22" s="10">
        <f>Anlegg!D21+Blilie!D21+Prestmarka!D21</f>
        <v>0</v>
      </c>
      <c r="Y22" s="10">
        <f>Anlegg!F21+Blilie!F21+Prestmarka!F21</f>
        <v>0</v>
      </c>
      <c r="Z22" s="10">
        <f>Anlegg!G21+Blilie!G21+Prestmarka!G21</f>
        <v>0</v>
      </c>
      <c r="AA22" s="164">
        <f t="shared" ref="AA22:AA52" si="16">C22+F22+I22+L22+U22</f>
        <v>0</v>
      </c>
      <c r="AB22" s="165">
        <f>'Turn '!E21+Ski!E21+Fotball!E21+Sykkel!E21+'G &amp; T'!E21+Hovedlaget!E21+Anlegg!E21+Blilie!E21+Prestmarka!E21</f>
        <v>0</v>
      </c>
      <c r="AC22" s="164">
        <f t="shared" ref="AC22:AC52" si="17">D22+G22+J22+M22+V22+R22</f>
        <v>0</v>
      </c>
      <c r="AD22" s="44">
        <f t="shared" ref="AD22:AD52" si="18">E22+H22+K22+N22+Q22+W22+T22+Z22</f>
        <v>0</v>
      </c>
    </row>
    <row r="23" spans="1:30" ht="18" customHeight="1" x14ac:dyDescent="0.25">
      <c r="A23" s="9">
        <v>4225</v>
      </c>
      <c r="B23" s="13" t="s">
        <v>19</v>
      </c>
      <c r="C23" s="123">
        <f>'Turn '!F22</f>
        <v>0</v>
      </c>
      <c r="D23" s="123">
        <f>'Turn '!H22</f>
        <v>0</v>
      </c>
      <c r="E23" s="123">
        <f>'Turn '!J22</f>
        <v>0</v>
      </c>
      <c r="F23" s="123">
        <f>Ski!F22</f>
        <v>0</v>
      </c>
      <c r="G23" s="123">
        <f>Ski!H22</f>
        <v>0</v>
      </c>
      <c r="H23" s="123">
        <f>Ski!J22</f>
        <v>0</v>
      </c>
      <c r="I23" s="123">
        <f>Fotball!F22</f>
        <v>81369</v>
      </c>
      <c r="J23" s="123">
        <f>Fotball!H22</f>
        <v>24990</v>
      </c>
      <c r="K23" s="123">
        <f>Fotball!J22</f>
        <v>8000</v>
      </c>
      <c r="L23" s="123">
        <f>Sykkel!F22</f>
        <v>0</v>
      </c>
      <c r="M23" s="123">
        <f>Sykkel!H22</f>
        <v>0</v>
      </c>
      <c r="N23" s="123">
        <f>Sykkel!J22</f>
        <v>0</v>
      </c>
      <c r="O23" s="10">
        <f>'G &amp; T'!D22</f>
        <v>0</v>
      </c>
      <c r="P23" s="10">
        <f>'G &amp; T'!F22</f>
        <v>0</v>
      </c>
      <c r="Q23" s="10">
        <f>'G &amp; T'!G22</f>
        <v>0</v>
      </c>
      <c r="R23" s="121">
        <f>TKD!D22</f>
        <v>0</v>
      </c>
      <c r="S23" s="121"/>
      <c r="T23" s="121">
        <f>TKD!E22</f>
        <v>0</v>
      </c>
      <c r="U23" s="121">
        <f>'G &amp; T'!F22+Hovedlaget!F22+Anlegg!F22+Blilie!F22+Prestmarka!F22</f>
        <v>43950</v>
      </c>
      <c r="V23" s="121">
        <f>'G &amp; T'!H22+Hovedlaget!H22+Anlegg!H22+Blilie!H22+Prestmarka!H22</f>
        <v>58950</v>
      </c>
      <c r="W23" s="121">
        <f>'G &amp; T'!J22+Hovedlaget!J22+Anlegg!J22+Blilie!J22+Prestmarka!J22</f>
        <v>50000</v>
      </c>
      <c r="X23" s="10"/>
      <c r="Y23" s="10"/>
      <c r="Z23" s="10"/>
      <c r="AA23" s="164">
        <f t="shared" si="16"/>
        <v>125319</v>
      </c>
      <c r="AB23" s="165">
        <f>'Turn '!E22+Ski!E22+Fotball!E22+Sykkel!E22+'G &amp; T'!E22+Hovedlaget!E22+Anlegg!E22+Blilie!E22+Prestmarka!E22</f>
        <v>136114</v>
      </c>
      <c r="AC23" s="164">
        <f t="shared" si="17"/>
        <v>83940</v>
      </c>
      <c r="AD23" s="44">
        <f t="shared" si="18"/>
        <v>58000</v>
      </c>
    </row>
    <row r="24" spans="1:30" ht="18" customHeight="1" x14ac:dyDescent="0.25">
      <c r="A24" s="9">
        <v>4300</v>
      </c>
      <c r="B24" s="13" t="s">
        <v>18</v>
      </c>
      <c r="C24" s="123">
        <f>'Turn '!F23</f>
        <v>0</v>
      </c>
      <c r="D24" s="123">
        <f>'Turn '!H23</f>
        <v>0</v>
      </c>
      <c r="E24" s="123">
        <f>'Turn '!J23</f>
        <v>0</v>
      </c>
      <c r="F24" s="123">
        <f>Ski!F23</f>
        <v>0</v>
      </c>
      <c r="G24" s="123">
        <f>Ski!H23</f>
        <v>0</v>
      </c>
      <c r="H24" s="123">
        <f>Ski!J23</f>
        <v>0</v>
      </c>
      <c r="I24" s="123">
        <f>Fotball!F23</f>
        <v>0</v>
      </c>
      <c r="J24" s="123">
        <f>Fotball!H23</f>
        <v>0</v>
      </c>
      <c r="K24" s="123">
        <f>Fotball!J23</f>
        <v>0</v>
      </c>
      <c r="L24" s="123">
        <f>Sykkel!F23</f>
        <v>0</v>
      </c>
      <c r="M24" s="123">
        <f>Sykkel!H23</f>
        <v>0</v>
      </c>
      <c r="N24" s="123">
        <f>Sykkel!J23</f>
        <v>0</v>
      </c>
      <c r="O24" s="10">
        <f>'G &amp; T'!D23</f>
        <v>0</v>
      </c>
      <c r="P24" s="10">
        <f>'G &amp; T'!F23</f>
        <v>0</v>
      </c>
      <c r="Q24" s="10">
        <f>'G &amp; T'!G23</f>
        <v>0</v>
      </c>
      <c r="R24" s="121">
        <f>TKD!D23</f>
        <v>0</v>
      </c>
      <c r="S24" s="121"/>
      <c r="T24" s="121">
        <f>TKD!E23</f>
        <v>0</v>
      </c>
      <c r="U24" s="121">
        <f>'G &amp; T'!F23+Hovedlaget!F23+Anlegg!F23+Blilie!F23+Prestmarka!F23</f>
        <v>57684.15</v>
      </c>
      <c r="V24" s="121">
        <f>'G &amp; T'!H23+Hovedlaget!H23+Anlegg!H23+Blilie!H23+Prestmarka!H23</f>
        <v>50635.409999999996</v>
      </c>
      <c r="W24" s="121">
        <f>'G &amp; T'!J23+Hovedlaget!J23+Anlegg!J23+Blilie!J23+Prestmarka!J23</f>
        <v>50000</v>
      </c>
      <c r="X24" s="10"/>
      <c r="Y24" s="10"/>
      <c r="Z24" s="10"/>
      <c r="AA24" s="164">
        <f t="shared" si="16"/>
        <v>57684.15</v>
      </c>
      <c r="AB24" s="165">
        <f>'Turn '!E23+Ski!E23+Fotball!E23+Sykkel!E23+'G &amp; T'!E23+Hovedlaget!E23+Anlegg!E23+Blilie!E23+Prestmarka!E23</f>
        <v>51365</v>
      </c>
      <c r="AC24" s="164">
        <f t="shared" si="17"/>
        <v>50635.409999999996</v>
      </c>
      <c r="AD24" s="44">
        <f t="shared" si="18"/>
        <v>50000</v>
      </c>
    </row>
    <row r="25" spans="1:30" ht="18" customHeight="1" x14ac:dyDescent="0.25">
      <c r="A25" s="9">
        <v>5000</v>
      </c>
      <c r="B25" s="9" t="s">
        <v>20</v>
      </c>
      <c r="C25" s="123">
        <f>'Turn '!F24</f>
        <v>9460</v>
      </c>
      <c r="D25" s="123">
        <f>'Turn '!H24</f>
        <v>40295</v>
      </c>
      <c r="E25" s="123">
        <f>'Turn '!J24</f>
        <v>25000</v>
      </c>
      <c r="F25" s="123">
        <f>Ski!F24</f>
        <v>0</v>
      </c>
      <c r="G25" s="123">
        <f>Ski!H24</f>
        <v>0</v>
      </c>
      <c r="H25" s="123">
        <f>Ski!J24</f>
        <v>0</v>
      </c>
      <c r="I25" s="123">
        <f>Fotball!F24</f>
        <v>0</v>
      </c>
      <c r="J25" s="123">
        <f>Fotball!H24</f>
        <v>10000</v>
      </c>
      <c r="K25" s="123">
        <f>Fotball!J24</f>
        <v>0</v>
      </c>
      <c r="L25" s="123">
        <f>Sykkel!F24</f>
        <v>0</v>
      </c>
      <c r="M25" s="123">
        <f>Sykkel!H24</f>
        <v>0</v>
      </c>
      <c r="N25" s="123">
        <f>Sykkel!J24</f>
        <v>0</v>
      </c>
      <c r="O25" s="10">
        <f>'G &amp; T'!D24</f>
        <v>0</v>
      </c>
      <c r="P25" s="10">
        <f>'G &amp; T'!F24</f>
        <v>0</v>
      </c>
      <c r="Q25" s="10">
        <f>'G &amp; T'!G24</f>
        <v>0</v>
      </c>
      <c r="R25" s="121">
        <f>TKD!D24</f>
        <v>0</v>
      </c>
      <c r="S25" s="121"/>
      <c r="T25" s="121">
        <f>TKD!E24</f>
        <v>0</v>
      </c>
      <c r="U25" s="121">
        <f>'G &amp; T'!F24+Hovedlaget!F24+Anlegg!F24+Blilie!F24+Prestmarka!F24</f>
        <v>0</v>
      </c>
      <c r="V25" s="121">
        <f>'G &amp; T'!H24+Hovedlaget!H24+Anlegg!H24+Blilie!H24+Prestmarka!H24</f>
        <v>0</v>
      </c>
      <c r="W25" s="121">
        <f>'G &amp; T'!J24+Hovedlaget!J24+Anlegg!J24+Blilie!J24+Prestmarka!J24</f>
        <v>0</v>
      </c>
      <c r="X25" s="10"/>
      <c r="Y25" s="10"/>
      <c r="Z25" s="10"/>
      <c r="AA25" s="164">
        <f t="shared" si="16"/>
        <v>9460</v>
      </c>
      <c r="AB25" s="165">
        <f>'Turn '!E24+Ski!E24+Fotball!E24+Sykkel!E24+'G &amp; T'!E24+Hovedlaget!E24+Anlegg!E24+Blilie!E24+Prestmarka!E24</f>
        <v>8740</v>
      </c>
      <c r="AC25" s="164">
        <f t="shared" si="17"/>
        <v>50295</v>
      </c>
      <c r="AD25" s="44">
        <f t="shared" si="18"/>
        <v>25000</v>
      </c>
    </row>
    <row r="26" spans="1:30" ht="18" customHeight="1" x14ac:dyDescent="0.25">
      <c r="A26" s="9">
        <v>6315</v>
      </c>
      <c r="B26" s="9" t="s">
        <v>22</v>
      </c>
      <c r="C26" s="123">
        <f>'Turn '!F25</f>
        <v>0</v>
      </c>
      <c r="D26" s="123">
        <f>'Turn '!H25</f>
        <v>0</v>
      </c>
      <c r="E26" s="123">
        <f>'Turn '!J25</f>
        <v>0</v>
      </c>
      <c r="F26" s="123">
        <f>Ski!F25</f>
        <v>0</v>
      </c>
      <c r="G26" s="123">
        <f>Ski!H25</f>
        <v>0</v>
      </c>
      <c r="H26" s="123">
        <f>Ski!J25</f>
        <v>0</v>
      </c>
      <c r="I26" s="123">
        <f>Fotball!F25</f>
        <v>0</v>
      </c>
      <c r="J26" s="123">
        <f>Fotball!H25</f>
        <v>0</v>
      </c>
      <c r="K26" s="123">
        <f>Fotball!J25</f>
        <v>0</v>
      </c>
      <c r="L26" s="123">
        <f>Sykkel!F25</f>
        <v>0</v>
      </c>
      <c r="M26" s="123">
        <f>Sykkel!H25</f>
        <v>0</v>
      </c>
      <c r="N26" s="123">
        <f>Sykkel!J25</f>
        <v>0</v>
      </c>
      <c r="O26" s="10">
        <f>'G &amp; T'!D25</f>
        <v>0</v>
      </c>
      <c r="P26" s="10">
        <f>'G &amp; T'!F25</f>
        <v>0</v>
      </c>
      <c r="Q26" s="10">
        <f>'G &amp; T'!G25</f>
        <v>0</v>
      </c>
      <c r="R26" s="121">
        <f>TKD!D25</f>
        <v>0</v>
      </c>
      <c r="S26" s="121"/>
      <c r="T26" s="121">
        <f>TKD!E25</f>
        <v>0</v>
      </c>
      <c r="U26" s="121">
        <f>'G &amp; T'!F25+Hovedlaget!F25+Anlegg!F25+Blilie!F25+Prestmarka!F25</f>
        <v>4573.2</v>
      </c>
      <c r="V26" s="121">
        <f>'G &amp; T'!H25+Hovedlaget!H25+Anlegg!H25+Blilie!H25+Prestmarka!H25</f>
        <v>14253.599999999999</v>
      </c>
      <c r="W26" s="121">
        <f>'G &amp; T'!J25+Hovedlaget!J25+Anlegg!J25+Blilie!J25+Prestmarka!J25</f>
        <v>8000</v>
      </c>
      <c r="X26" s="10"/>
      <c r="Y26" s="10"/>
      <c r="Z26" s="10"/>
      <c r="AA26" s="164">
        <f t="shared" si="16"/>
        <v>4573.2</v>
      </c>
      <c r="AB26" s="165">
        <f>'Turn '!E25+Ski!E25+Fotball!E25+Sykkel!E25+'G &amp; T'!E25+Hovedlaget!E25+Anlegg!E25+Blilie!E25+Prestmarka!E25</f>
        <v>7297</v>
      </c>
      <c r="AC26" s="164">
        <f t="shared" si="17"/>
        <v>14253.599999999999</v>
      </c>
      <c r="AD26" s="44">
        <f t="shared" si="18"/>
        <v>8000</v>
      </c>
    </row>
    <row r="27" spans="1:30" ht="18" customHeight="1" x14ac:dyDescent="0.25">
      <c r="A27" s="9">
        <v>6316</v>
      </c>
      <c r="B27" s="13" t="s">
        <v>39</v>
      </c>
      <c r="C27" s="123">
        <f>'Turn '!F26</f>
        <v>0</v>
      </c>
      <c r="D27" s="123">
        <f>'Turn '!H26</f>
        <v>0</v>
      </c>
      <c r="E27" s="123">
        <f>'Turn '!J26</f>
        <v>0</v>
      </c>
      <c r="F27" s="123">
        <f>Ski!F26</f>
        <v>0</v>
      </c>
      <c r="G27" s="123">
        <f>Ski!H26</f>
        <v>0</v>
      </c>
      <c r="H27" s="123">
        <f>Ski!J26</f>
        <v>0</v>
      </c>
      <c r="I27" s="123">
        <f>Fotball!F26</f>
        <v>0</v>
      </c>
      <c r="J27" s="123">
        <f>Fotball!H26</f>
        <v>0</v>
      </c>
      <c r="K27" s="123">
        <f>Fotball!J26</f>
        <v>0</v>
      </c>
      <c r="L27" s="123">
        <f>Sykkel!F26</f>
        <v>0</v>
      </c>
      <c r="M27" s="123">
        <f>Sykkel!H26</f>
        <v>0</v>
      </c>
      <c r="N27" s="123">
        <f>Sykkel!J26</f>
        <v>0</v>
      </c>
      <c r="O27" s="10">
        <f>'G &amp; T'!D26</f>
        <v>0</v>
      </c>
      <c r="P27" s="10">
        <f>'G &amp; T'!F26</f>
        <v>0</v>
      </c>
      <c r="Q27" s="10">
        <f>'G &amp; T'!G26</f>
        <v>0</v>
      </c>
      <c r="R27" s="121">
        <f>TKD!D26</f>
        <v>0</v>
      </c>
      <c r="S27" s="121"/>
      <c r="T27" s="121">
        <f>TKD!E26</f>
        <v>0</v>
      </c>
      <c r="U27" s="121">
        <f>'G &amp; T'!F26+Hovedlaget!F26+Anlegg!F26+Blilie!F26+Prestmarka!F26</f>
        <v>10125</v>
      </c>
      <c r="V27" s="121">
        <f>'G &amp; T'!H26+Hovedlaget!H26+Anlegg!H26+Blilie!H26+Prestmarka!H26</f>
        <v>1500</v>
      </c>
      <c r="W27" s="121">
        <f>'G &amp; T'!J26+Hovedlaget!J26+Anlegg!J26+Blilie!J26+Prestmarka!J26</f>
        <v>3000</v>
      </c>
      <c r="X27" s="10"/>
      <c r="Y27" s="10"/>
      <c r="Z27" s="10"/>
      <c r="AA27" s="164">
        <f t="shared" si="16"/>
        <v>10125</v>
      </c>
      <c r="AB27" s="165">
        <f>'Turn '!E26+Ski!E26+Fotball!E26+Sykkel!E26+'G &amp; T'!E26+Hovedlaget!E26+Anlegg!E26+Blilie!E26+Prestmarka!E26</f>
        <v>10937.5</v>
      </c>
      <c r="AC27" s="164">
        <f t="shared" si="17"/>
        <v>1500</v>
      </c>
      <c r="AD27" s="44">
        <f t="shared" si="18"/>
        <v>3000</v>
      </c>
    </row>
    <row r="28" spans="1:30" ht="18" customHeight="1" x14ac:dyDescent="0.25">
      <c r="A28" s="9">
        <v>6320</v>
      </c>
      <c r="B28" s="9" t="s">
        <v>23</v>
      </c>
      <c r="C28" s="123">
        <f>'Turn '!F27</f>
        <v>0</v>
      </c>
      <c r="D28" s="123">
        <f>'Turn '!H27</f>
        <v>0</v>
      </c>
      <c r="E28" s="123">
        <f>'Turn '!J27</f>
        <v>0</v>
      </c>
      <c r="F28" s="123">
        <f>Ski!F27</f>
        <v>0</v>
      </c>
      <c r="G28" s="123">
        <f>Ski!H27</f>
        <v>0</v>
      </c>
      <c r="H28" s="123">
        <f>Ski!J27</f>
        <v>0</v>
      </c>
      <c r="I28" s="123">
        <f>Fotball!F27</f>
        <v>0</v>
      </c>
      <c r="J28" s="123">
        <f>Fotball!H27</f>
        <v>0</v>
      </c>
      <c r="K28" s="123">
        <f>Fotball!J27</f>
        <v>0</v>
      </c>
      <c r="L28" s="123">
        <f>Sykkel!F27</f>
        <v>0</v>
      </c>
      <c r="M28" s="123">
        <f>Sykkel!H27</f>
        <v>0</v>
      </c>
      <c r="N28" s="123">
        <f>Sykkel!J27</f>
        <v>0</v>
      </c>
      <c r="O28" s="10">
        <f>'G &amp; T'!D27</f>
        <v>0</v>
      </c>
      <c r="P28" s="10">
        <f>'G &amp; T'!F27</f>
        <v>0</v>
      </c>
      <c r="Q28" s="10">
        <f>'G &amp; T'!G27</f>
        <v>0</v>
      </c>
      <c r="R28" s="121">
        <f>TKD!D27</f>
        <v>0</v>
      </c>
      <c r="S28" s="121"/>
      <c r="T28" s="121">
        <f>TKD!E27</f>
        <v>0</v>
      </c>
      <c r="U28" s="121">
        <f>'G &amp; T'!F27+Hovedlaget!F27+Anlegg!F27+Blilie!F27+Prestmarka!F27</f>
        <v>33215</v>
      </c>
      <c r="V28" s="121">
        <f>'G &amp; T'!H27+Hovedlaget!H27+Anlegg!H27+Blilie!H27+Prestmarka!H27</f>
        <v>10881</v>
      </c>
      <c r="W28" s="121">
        <f>'G &amp; T'!J27+Hovedlaget!J27+Anlegg!J27+Blilie!J27+Prestmarka!J27</f>
        <v>15000</v>
      </c>
      <c r="X28" s="10"/>
      <c r="Y28" s="10"/>
      <c r="Z28" s="10"/>
      <c r="AA28" s="164">
        <f t="shared" si="16"/>
        <v>33215</v>
      </c>
      <c r="AB28" s="165">
        <f>'Turn '!E27+Ski!E27+Fotball!E27+Sykkel!E27+'G &amp; T'!E27+Hovedlaget!E27+Anlegg!E27+Blilie!E27+Prestmarka!E27</f>
        <v>28012</v>
      </c>
      <c r="AC28" s="164">
        <f t="shared" si="17"/>
        <v>10881</v>
      </c>
      <c r="AD28" s="44">
        <f t="shared" si="18"/>
        <v>15000</v>
      </c>
    </row>
    <row r="29" spans="1:30" ht="18" customHeight="1" x14ac:dyDescent="0.25">
      <c r="A29" s="9">
        <v>6340</v>
      </c>
      <c r="B29" s="13" t="s">
        <v>41</v>
      </c>
      <c r="C29" s="123">
        <f>'Turn '!F28</f>
        <v>0</v>
      </c>
      <c r="D29" s="123">
        <f>'Turn '!H28</f>
        <v>0</v>
      </c>
      <c r="E29" s="123">
        <f>'Turn '!J28</f>
        <v>0</v>
      </c>
      <c r="F29" s="123">
        <f>Ski!F28</f>
        <v>0</v>
      </c>
      <c r="G29" s="123">
        <f>Ski!H28</f>
        <v>0</v>
      </c>
      <c r="H29" s="123">
        <f>Ski!J28</f>
        <v>0</v>
      </c>
      <c r="I29" s="123">
        <f>Fotball!F28</f>
        <v>0</v>
      </c>
      <c r="J29" s="123">
        <f>Fotball!H28</f>
        <v>0</v>
      </c>
      <c r="K29" s="123">
        <f>Fotball!J28</f>
        <v>0</v>
      </c>
      <c r="L29" s="123">
        <f>Sykkel!F28</f>
        <v>0</v>
      </c>
      <c r="M29" s="123">
        <f>Sykkel!H28</f>
        <v>0</v>
      </c>
      <c r="N29" s="123">
        <f>Sykkel!J28</f>
        <v>0</v>
      </c>
      <c r="O29" s="10">
        <f>'G &amp; T'!D28</f>
        <v>0</v>
      </c>
      <c r="P29" s="10">
        <f>'G &amp; T'!F28</f>
        <v>0</v>
      </c>
      <c r="Q29" s="10">
        <f>'G &amp; T'!G28</f>
        <v>0</v>
      </c>
      <c r="R29" s="121">
        <f>TKD!D28</f>
        <v>0</v>
      </c>
      <c r="S29" s="121"/>
      <c r="T29" s="121">
        <f>TKD!E28</f>
        <v>0</v>
      </c>
      <c r="U29" s="121">
        <f>'G &amp; T'!F28+Hovedlaget!F28+Anlegg!F28+Blilie!F28+Prestmarka!F28</f>
        <v>86251.85</v>
      </c>
      <c r="V29" s="121">
        <f>'G &amp; T'!H28+Hovedlaget!H28+Anlegg!H28+Blilie!H28+Prestmarka!H28</f>
        <v>96114.950000000012</v>
      </c>
      <c r="W29" s="121">
        <f>'G &amp; T'!J28+Hovedlaget!J28+Anlegg!J28+Blilie!J28+Prestmarka!J28</f>
        <v>96000</v>
      </c>
      <c r="X29" s="10"/>
      <c r="Y29" s="10"/>
      <c r="Z29" s="10"/>
      <c r="AA29" s="164">
        <f t="shared" si="16"/>
        <v>86251.85</v>
      </c>
      <c r="AB29" s="165">
        <f>'Turn '!E28+Ski!E28+Fotball!E28+Sykkel!E28+'G &amp; T'!E28+Hovedlaget!E28+Anlegg!E28+Blilie!E28+Prestmarka!E28</f>
        <v>86136</v>
      </c>
      <c r="AC29" s="164">
        <f t="shared" si="17"/>
        <v>96114.950000000012</v>
      </c>
      <c r="AD29" s="44">
        <f t="shared" si="18"/>
        <v>96000</v>
      </c>
    </row>
    <row r="30" spans="1:30" ht="18" customHeight="1" x14ac:dyDescent="0.25">
      <c r="A30" s="9">
        <v>6340</v>
      </c>
      <c r="B30" s="13" t="s">
        <v>42</v>
      </c>
      <c r="C30" s="123">
        <f>'Turn '!F29</f>
        <v>0</v>
      </c>
      <c r="D30" s="123">
        <f>'Turn '!H29</f>
        <v>0</v>
      </c>
      <c r="E30" s="123">
        <f>'Turn '!J29</f>
        <v>0</v>
      </c>
      <c r="F30" s="123">
        <f>Ski!F29</f>
        <v>0</v>
      </c>
      <c r="G30" s="123">
        <f>Ski!H29</f>
        <v>0</v>
      </c>
      <c r="H30" s="123">
        <f>Ski!J29</f>
        <v>0</v>
      </c>
      <c r="I30" s="123">
        <f>Fotball!F29</f>
        <v>0</v>
      </c>
      <c r="J30" s="123">
        <f>Fotball!H29</f>
        <v>0</v>
      </c>
      <c r="K30" s="123">
        <f>Fotball!J29</f>
        <v>0</v>
      </c>
      <c r="L30" s="123">
        <f>Sykkel!F29</f>
        <v>0</v>
      </c>
      <c r="M30" s="123">
        <f>Sykkel!H29</f>
        <v>0</v>
      </c>
      <c r="N30" s="123">
        <f>Sykkel!J29</f>
        <v>0</v>
      </c>
      <c r="O30" s="10">
        <f>'G &amp; T'!D29</f>
        <v>0</v>
      </c>
      <c r="P30" s="10">
        <f>'G &amp; T'!F29</f>
        <v>0</v>
      </c>
      <c r="Q30" s="10">
        <f>'G &amp; T'!G29</f>
        <v>0</v>
      </c>
      <c r="R30" s="121">
        <f>TKD!D29</f>
        <v>0</v>
      </c>
      <c r="S30" s="121"/>
      <c r="T30" s="121">
        <f>TKD!E29</f>
        <v>0</v>
      </c>
      <c r="U30" s="121">
        <f>'G &amp; T'!F29+Hovedlaget!F29+Anlegg!F29+Blilie!F29+Prestmarka!F29</f>
        <v>13619.9</v>
      </c>
      <c r="V30" s="121">
        <f>'G &amp; T'!H29+Hovedlaget!H29+Anlegg!H29+Blilie!H29+Prestmarka!H29</f>
        <v>32749.940000000002</v>
      </c>
      <c r="W30" s="121">
        <f>'G &amp; T'!J29+Hovedlaget!J29+Anlegg!J29+Blilie!J29+Prestmarka!J29</f>
        <v>13000</v>
      </c>
      <c r="X30" s="10"/>
      <c r="Y30" s="10"/>
      <c r="Z30" s="10"/>
      <c r="AA30" s="164">
        <f t="shared" si="16"/>
        <v>13619.9</v>
      </c>
      <c r="AB30" s="165">
        <f>'Turn '!E29+Ski!E29+Fotball!E29+Sykkel!E29+'G &amp; T'!E29+Hovedlaget!E29+Anlegg!E29+Blilie!E29+Prestmarka!E29</f>
        <v>12819</v>
      </c>
      <c r="AC30" s="164">
        <f t="shared" si="17"/>
        <v>32749.940000000002</v>
      </c>
      <c r="AD30" s="44">
        <f t="shared" si="18"/>
        <v>13000</v>
      </c>
    </row>
    <row r="31" spans="1:30" ht="18" customHeight="1" x14ac:dyDescent="0.25">
      <c r="A31" s="9">
        <v>6550</v>
      </c>
      <c r="B31" s="13" t="s">
        <v>40</v>
      </c>
      <c r="C31" s="123">
        <f>'Turn '!F30</f>
        <v>38628</v>
      </c>
      <c r="D31" s="123">
        <f>'Turn '!H30</f>
        <v>4226.8</v>
      </c>
      <c r="E31" s="123">
        <f>'Turn '!J30</f>
        <v>65000</v>
      </c>
      <c r="F31" s="123">
        <f>Ski!F30</f>
        <v>3600</v>
      </c>
      <c r="G31" s="123">
        <f>Ski!H30</f>
        <v>35297.449999999997</v>
      </c>
      <c r="H31" s="123">
        <f>Ski!J30</f>
        <v>30000</v>
      </c>
      <c r="I31" s="123">
        <f>Fotball!F30</f>
        <v>56414</v>
      </c>
      <c r="J31" s="123">
        <f>Fotball!H30</f>
        <v>25096</v>
      </c>
      <c r="K31" s="123">
        <f>Fotball!J30</f>
        <v>31000</v>
      </c>
      <c r="L31" s="123">
        <f>Sykkel!F30</f>
        <v>21275.5</v>
      </c>
      <c r="M31" s="123">
        <f>Sykkel!H30</f>
        <v>0</v>
      </c>
      <c r="N31" s="123">
        <f>Sykkel!J30</f>
        <v>0</v>
      </c>
      <c r="O31" s="10">
        <f>'G &amp; T'!D30</f>
        <v>0</v>
      </c>
      <c r="P31" s="10">
        <f>'G &amp; T'!F30</f>
        <v>0</v>
      </c>
      <c r="Q31" s="10">
        <f>'G &amp; T'!G30</f>
        <v>0</v>
      </c>
      <c r="R31" s="121">
        <f>TKD!D30</f>
        <v>0</v>
      </c>
      <c r="S31" s="121"/>
      <c r="T31" s="121">
        <f>TKD!E30</f>
        <v>13000</v>
      </c>
      <c r="U31" s="121">
        <f>'G &amp; T'!F30+Hovedlaget!F30+Anlegg!F30+Blilie!F30+Prestmarka!F30</f>
        <v>73143</v>
      </c>
      <c r="V31" s="121">
        <f>'G &amp; T'!H30+Hovedlaget!H30+Anlegg!H30+Blilie!H30+Prestmarka!H30</f>
        <v>13816.580000000002</v>
      </c>
      <c r="W31" s="121">
        <f>'G &amp; T'!J30+Hovedlaget!J30+Anlegg!J30+Blilie!J30+Prestmarka!J30</f>
        <v>75000</v>
      </c>
      <c r="X31" s="10"/>
      <c r="Y31" s="10"/>
      <c r="Z31" s="10"/>
      <c r="AA31" s="164">
        <f t="shared" si="16"/>
        <v>193060.5</v>
      </c>
      <c r="AB31" s="165">
        <f>'Turn '!E30+Ski!E30+Fotball!E30+Sykkel!E30+'G &amp; T'!E30+Hovedlaget!E30+Anlegg!E30+Blilie!E30+Prestmarka!E30</f>
        <v>140501</v>
      </c>
      <c r="AC31" s="164">
        <f t="shared" si="17"/>
        <v>78436.83</v>
      </c>
      <c r="AD31" s="44">
        <f t="shared" si="18"/>
        <v>214000</v>
      </c>
    </row>
    <row r="32" spans="1:30" ht="18" customHeight="1" x14ac:dyDescent="0.25">
      <c r="A32" s="9">
        <v>6600</v>
      </c>
      <c r="B32" s="9" t="s">
        <v>24</v>
      </c>
      <c r="C32" s="123">
        <f>'Turn '!F31</f>
        <v>0</v>
      </c>
      <c r="D32" s="123">
        <f>'Turn '!H31</f>
        <v>0</v>
      </c>
      <c r="E32" s="123">
        <f>'Turn '!J31</f>
        <v>0</v>
      </c>
      <c r="F32" s="123">
        <f>Ski!F31</f>
        <v>0</v>
      </c>
      <c r="G32" s="123">
        <f>Ski!H31</f>
        <v>0</v>
      </c>
      <c r="H32" s="123">
        <f>Ski!J31</f>
        <v>0</v>
      </c>
      <c r="I32" s="123">
        <f>Fotball!F31</f>
        <v>0</v>
      </c>
      <c r="J32" s="123">
        <f>Fotball!H31</f>
        <v>0</v>
      </c>
      <c r="K32" s="123">
        <f>Fotball!J31</f>
        <v>0</v>
      </c>
      <c r="L32" s="123">
        <f>Sykkel!F31</f>
        <v>0</v>
      </c>
      <c r="M32" s="123">
        <f>Sykkel!H31</f>
        <v>0</v>
      </c>
      <c r="N32" s="123">
        <f>Sykkel!J31</f>
        <v>0</v>
      </c>
      <c r="O32" s="10">
        <f>'G &amp; T'!D31</f>
        <v>0</v>
      </c>
      <c r="P32" s="10">
        <f>'G &amp; T'!F31</f>
        <v>0</v>
      </c>
      <c r="Q32" s="10">
        <f>'G &amp; T'!G31</f>
        <v>0</v>
      </c>
      <c r="R32" s="121">
        <f>TKD!D31</f>
        <v>0</v>
      </c>
      <c r="S32" s="121"/>
      <c r="T32" s="121">
        <f>TKD!E31</f>
        <v>0</v>
      </c>
      <c r="U32" s="121">
        <f>'G &amp; T'!F31+Hovedlaget!F31+Anlegg!F31+Blilie!F31+Prestmarka!F31</f>
        <v>461846.98000000004</v>
      </c>
      <c r="V32" s="121">
        <f>'G &amp; T'!H31+Hovedlaget!H31+Anlegg!H31+Blilie!H31+Prestmarka!H31</f>
        <v>45340.5</v>
      </c>
      <c r="W32" s="121">
        <f>'G &amp; T'!J31+Hovedlaget!J31+Anlegg!J31+Blilie!J31+Prestmarka!J31</f>
        <v>23000</v>
      </c>
      <c r="X32" s="10"/>
      <c r="Y32" s="10"/>
      <c r="Z32" s="10"/>
      <c r="AA32" s="164">
        <f t="shared" si="16"/>
        <v>461846.98000000004</v>
      </c>
      <c r="AB32" s="165">
        <f>'Turn '!E31+Ski!E31+Fotball!E31+Sykkel!E31+'G &amp; T'!E31+Hovedlaget!E31+Anlegg!E31+Blilie!E31+Prestmarka!E31</f>
        <v>27531</v>
      </c>
      <c r="AC32" s="164">
        <f t="shared" si="17"/>
        <v>45340.5</v>
      </c>
      <c r="AD32" s="44">
        <f t="shared" si="18"/>
        <v>23000</v>
      </c>
    </row>
    <row r="33" spans="1:30" ht="18" customHeight="1" x14ac:dyDescent="0.25">
      <c r="A33" s="9">
        <v>6620</v>
      </c>
      <c r="B33" s="9" t="s">
        <v>25</v>
      </c>
      <c r="C33" s="123">
        <f>'Turn '!F32</f>
        <v>0</v>
      </c>
      <c r="D33" s="123">
        <f>'Turn '!H32</f>
        <v>0</v>
      </c>
      <c r="E33" s="123">
        <f>'Turn '!J32</f>
        <v>0</v>
      </c>
      <c r="F33" s="123">
        <f>Ski!F32</f>
        <v>0</v>
      </c>
      <c r="G33" s="123">
        <f>Ski!H32</f>
        <v>0</v>
      </c>
      <c r="H33" s="123">
        <f>Ski!J32</f>
        <v>0</v>
      </c>
      <c r="I33" s="123">
        <f>Fotball!F32</f>
        <v>1649</v>
      </c>
      <c r="J33" s="123">
        <f>Fotball!H32</f>
        <v>0</v>
      </c>
      <c r="K33" s="123">
        <f>Fotball!J32</f>
        <v>0</v>
      </c>
      <c r="L33" s="123">
        <f>Sykkel!F32</f>
        <v>0</v>
      </c>
      <c r="M33" s="123">
        <f>Sykkel!H32</f>
        <v>0</v>
      </c>
      <c r="N33" s="123">
        <f>Sykkel!J32</f>
        <v>0</v>
      </c>
      <c r="O33" s="10">
        <f>'G &amp; T'!D32</f>
        <v>0</v>
      </c>
      <c r="P33" s="10">
        <f>'G &amp; T'!F32</f>
        <v>0</v>
      </c>
      <c r="Q33" s="10">
        <f>'G &amp; T'!G32</f>
        <v>0</v>
      </c>
      <c r="R33" s="121">
        <f>TKD!D32</f>
        <v>0</v>
      </c>
      <c r="S33" s="121"/>
      <c r="T33" s="121">
        <f>TKD!E32</f>
        <v>0</v>
      </c>
      <c r="U33" s="121">
        <f>'G &amp; T'!F32+Hovedlaget!F32+Anlegg!F32+Blilie!F32+Prestmarka!F32</f>
        <v>37438</v>
      </c>
      <c r="V33" s="121">
        <f>'G &amp; T'!H32+Hovedlaget!H32+Anlegg!H32+Blilie!H32+Prestmarka!H32</f>
        <v>36662</v>
      </c>
      <c r="W33" s="121">
        <f>'G &amp; T'!J32+Hovedlaget!J32+Anlegg!J32+Blilie!J32+Prestmarka!J32</f>
        <v>25000</v>
      </c>
      <c r="X33" s="10"/>
      <c r="Y33" s="10"/>
      <c r="Z33" s="10"/>
      <c r="AA33" s="164">
        <f t="shared" si="16"/>
        <v>39087</v>
      </c>
      <c r="AB33" s="165">
        <f>'Turn '!E32+Ski!E32+Fotball!E32+Sykkel!E32+'G &amp; T'!E32+Hovedlaget!E32+Anlegg!E32+Blilie!E32+Prestmarka!E32</f>
        <v>21549</v>
      </c>
      <c r="AC33" s="164">
        <f t="shared" si="17"/>
        <v>36662</v>
      </c>
      <c r="AD33" s="44">
        <f t="shared" si="18"/>
        <v>25000</v>
      </c>
    </row>
    <row r="34" spans="1:30" ht="18" customHeight="1" x14ac:dyDescent="0.25">
      <c r="A34" s="9">
        <v>6630</v>
      </c>
      <c r="B34" s="13" t="s">
        <v>47</v>
      </c>
      <c r="C34" s="123">
        <f>'Turn '!F33</f>
        <v>0</v>
      </c>
      <c r="D34" s="123">
        <f>'Turn '!H33</f>
        <v>0</v>
      </c>
      <c r="E34" s="123">
        <f>'Turn '!J33</f>
        <v>0</v>
      </c>
      <c r="F34" s="123">
        <f>Ski!F33</f>
        <v>0</v>
      </c>
      <c r="G34" s="123">
        <f>Ski!H33</f>
        <v>0</v>
      </c>
      <c r="H34" s="123">
        <f>Ski!J33</f>
        <v>0</v>
      </c>
      <c r="I34" s="123">
        <f>Fotball!F33</f>
        <v>0</v>
      </c>
      <c r="J34" s="123">
        <f>Fotball!H33</f>
        <v>0</v>
      </c>
      <c r="K34" s="123">
        <f>Fotball!J33</f>
        <v>0</v>
      </c>
      <c r="L34" s="123">
        <f>Sykkel!F33</f>
        <v>0</v>
      </c>
      <c r="M34" s="123">
        <f>Sykkel!H33</f>
        <v>0</v>
      </c>
      <c r="N34" s="123">
        <f>Sykkel!J33</f>
        <v>0</v>
      </c>
      <c r="O34" s="10">
        <f>'G &amp; T'!D33</f>
        <v>0</v>
      </c>
      <c r="P34" s="10">
        <f>'G &amp; T'!F33</f>
        <v>0</v>
      </c>
      <c r="Q34" s="10">
        <f>'G &amp; T'!G33</f>
        <v>0</v>
      </c>
      <c r="R34" s="121">
        <f>TKD!D33</f>
        <v>0</v>
      </c>
      <c r="S34" s="121"/>
      <c r="T34" s="121">
        <f>TKD!E33</f>
        <v>0</v>
      </c>
      <c r="U34" s="121">
        <f>'G &amp; T'!F33+Hovedlaget!F33+Anlegg!F33+Blilie!F33+Prestmarka!F33</f>
        <v>60822</v>
      </c>
      <c r="V34" s="121">
        <f>'G &amp; T'!H33+Hovedlaget!H33+Anlegg!H33+Blilie!H33+Prestmarka!H33</f>
        <v>24169</v>
      </c>
      <c r="W34" s="121">
        <f>'G &amp; T'!J33+Hovedlaget!J33+Anlegg!J33+Blilie!J33+Prestmarka!J33</f>
        <v>26000</v>
      </c>
      <c r="X34" s="10"/>
      <c r="Y34" s="10"/>
      <c r="Z34" s="10"/>
      <c r="AA34" s="164">
        <f t="shared" si="16"/>
        <v>60822</v>
      </c>
      <c r="AB34" s="165">
        <f>'Turn '!E33+Ski!E33+Fotball!E33+Sykkel!E33+'G &amp; T'!E33+Hovedlaget!E33+Anlegg!E33+Blilie!E33+Prestmarka!E33</f>
        <v>25436</v>
      </c>
      <c r="AC34" s="164">
        <f t="shared" si="17"/>
        <v>24169</v>
      </c>
      <c r="AD34" s="44">
        <f t="shared" si="18"/>
        <v>26000</v>
      </c>
    </row>
    <row r="35" spans="1:30" ht="18" customHeight="1" x14ac:dyDescent="0.25">
      <c r="A35" s="9">
        <v>6705</v>
      </c>
      <c r="B35" s="23" t="s">
        <v>107</v>
      </c>
      <c r="C35" s="123">
        <f>'Turn '!F34</f>
        <v>0</v>
      </c>
      <c r="D35" s="123">
        <f>'Turn '!H34</f>
        <v>0</v>
      </c>
      <c r="E35" s="123">
        <f>'Turn '!J34</f>
        <v>0</v>
      </c>
      <c r="F35" s="123">
        <f>Ski!F34</f>
        <v>0</v>
      </c>
      <c r="G35" s="123">
        <f>Ski!H34</f>
        <v>0</v>
      </c>
      <c r="H35" s="123">
        <f>Ski!J34</f>
        <v>0</v>
      </c>
      <c r="I35" s="123">
        <f>Fotball!F34</f>
        <v>0</v>
      </c>
      <c r="J35" s="123">
        <f>Fotball!H34</f>
        <v>0</v>
      </c>
      <c r="K35" s="123">
        <f>Fotball!J34</f>
        <v>0</v>
      </c>
      <c r="L35" s="123">
        <f>Sykkel!F34</f>
        <v>0</v>
      </c>
      <c r="M35" s="123">
        <f>Sykkel!H34</f>
        <v>0</v>
      </c>
      <c r="N35" s="123">
        <f>Sykkel!J34</f>
        <v>0</v>
      </c>
      <c r="O35" s="10">
        <f>'G &amp; T'!D34</f>
        <v>0</v>
      </c>
      <c r="P35" s="10">
        <f>'G &amp; T'!F34</f>
        <v>0</v>
      </c>
      <c r="Q35" s="10">
        <f>'G &amp; T'!G34</f>
        <v>0</v>
      </c>
      <c r="R35" s="121">
        <f>TKD!D34</f>
        <v>0</v>
      </c>
      <c r="S35" s="121"/>
      <c r="T35" s="121">
        <f>TKD!E34</f>
        <v>0</v>
      </c>
      <c r="U35" s="121">
        <f>'G &amp; T'!F34+Hovedlaget!F34+Anlegg!F34+Blilie!F34+Prestmarka!F34</f>
        <v>66560.87</v>
      </c>
      <c r="V35" s="121">
        <f>'G &amp; T'!H34+Hovedlaget!H34+Anlegg!H34+Blilie!H34+Prestmarka!H34</f>
        <v>91868.55</v>
      </c>
      <c r="W35" s="121">
        <f>'G &amp; T'!J34+Hovedlaget!J34+Anlegg!J34+Blilie!J34+Prestmarka!J34</f>
        <v>85000</v>
      </c>
      <c r="X35" s="10"/>
      <c r="Y35" s="10"/>
      <c r="Z35" s="10"/>
      <c r="AA35" s="164">
        <f t="shared" si="16"/>
        <v>66560.87</v>
      </c>
      <c r="AB35" s="165">
        <f>'Turn '!E34+Ski!E34+Fotball!E34+Sykkel!E34+'G &amp; T'!E34+Hovedlaget!E34+Anlegg!E34+Blilie!E34+Prestmarka!E34</f>
        <v>65909.5</v>
      </c>
      <c r="AC35" s="164">
        <f t="shared" si="17"/>
        <v>91868.55</v>
      </c>
      <c r="AD35" s="44">
        <f t="shared" si="18"/>
        <v>85000</v>
      </c>
    </row>
    <row r="36" spans="1:30" ht="19.899999999999999" customHeight="1" x14ac:dyDescent="0.25">
      <c r="A36" s="9">
        <v>6800</v>
      </c>
      <c r="B36" s="13" t="s">
        <v>43</v>
      </c>
      <c r="C36" s="123">
        <f>'Turn '!F35</f>
        <v>0</v>
      </c>
      <c r="D36" s="123">
        <f>'Turn '!H35</f>
        <v>0</v>
      </c>
      <c r="E36" s="123">
        <f>'Turn '!J35</f>
        <v>0</v>
      </c>
      <c r="F36" s="123">
        <f>Ski!F35</f>
        <v>0</v>
      </c>
      <c r="G36" s="123">
        <f>Ski!H35</f>
        <v>0</v>
      </c>
      <c r="H36" s="123">
        <f>Ski!J35</f>
        <v>0</v>
      </c>
      <c r="I36" s="123">
        <f>Fotball!F35</f>
        <v>0</v>
      </c>
      <c r="J36" s="123">
        <f>Fotball!H35</f>
        <v>0</v>
      </c>
      <c r="K36" s="123">
        <f>Fotball!J35</f>
        <v>0</v>
      </c>
      <c r="L36" s="123">
        <f>Sykkel!F35</f>
        <v>0</v>
      </c>
      <c r="M36" s="123">
        <f>Sykkel!H35</f>
        <v>0</v>
      </c>
      <c r="N36" s="123">
        <f>Sykkel!J35</f>
        <v>0</v>
      </c>
      <c r="O36" s="10">
        <f>'G &amp; T'!D35</f>
        <v>0</v>
      </c>
      <c r="P36" s="10">
        <f>'G &amp; T'!F35</f>
        <v>0</v>
      </c>
      <c r="Q36" s="10">
        <f>'G &amp; T'!G35</f>
        <v>0</v>
      </c>
      <c r="R36" s="121">
        <f>TKD!D35</f>
        <v>0</v>
      </c>
      <c r="S36" s="121"/>
      <c r="T36" s="121">
        <f>TKD!E35</f>
        <v>0</v>
      </c>
      <c r="U36" s="121">
        <f>'G &amp; T'!F35+Hovedlaget!F35+Anlegg!F35+Blilie!F35+Prestmarka!F35</f>
        <v>3454.38</v>
      </c>
      <c r="V36" s="121">
        <f>'G &amp; T'!H35+Hovedlaget!H35+Anlegg!H35+Blilie!H35+Prestmarka!H35</f>
        <v>506.5</v>
      </c>
      <c r="W36" s="121">
        <f>'G &amp; T'!J35+Hovedlaget!J35+Anlegg!J35+Blilie!J35+Prestmarka!J35</f>
        <v>0</v>
      </c>
      <c r="X36" s="10"/>
      <c r="Y36" s="10"/>
      <c r="Z36" s="10"/>
      <c r="AA36" s="164">
        <f t="shared" si="16"/>
        <v>3454.38</v>
      </c>
      <c r="AB36" s="165">
        <f>'Turn '!E35+Ski!E35+Fotball!E35+Sykkel!E35+'G &amp; T'!E35+Hovedlaget!E35+Anlegg!E35+Blilie!E35+Prestmarka!E35</f>
        <v>2795.5</v>
      </c>
      <c r="AC36" s="164">
        <f t="shared" si="17"/>
        <v>506.5</v>
      </c>
      <c r="AD36" s="44">
        <f t="shared" si="18"/>
        <v>0</v>
      </c>
    </row>
    <row r="37" spans="1:30" ht="19.899999999999999" hidden="1" customHeight="1" x14ac:dyDescent="0.25">
      <c r="A37" s="9">
        <v>6840</v>
      </c>
      <c r="B37" s="13" t="s">
        <v>26</v>
      </c>
      <c r="C37" s="123">
        <f>'Turn '!F36</f>
        <v>0</v>
      </c>
      <c r="D37" s="123">
        <f>'Turn '!H36</f>
        <v>0</v>
      </c>
      <c r="E37" s="123">
        <f>'Turn '!J36</f>
        <v>0</v>
      </c>
      <c r="F37" s="123">
        <f>Ski!F36</f>
        <v>0</v>
      </c>
      <c r="G37" s="123">
        <f>Ski!H36</f>
        <v>0</v>
      </c>
      <c r="H37" s="123">
        <f>Ski!J36</f>
        <v>0</v>
      </c>
      <c r="I37" s="123">
        <f>Fotball!F36</f>
        <v>0</v>
      </c>
      <c r="J37" s="123">
        <f>Fotball!H36</f>
        <v>0</v>
      </c>
      <c r="K37" s="123">
        <f>Fotball!J36</f>
        <v>0</v>
      </c>
      <c r="L37" s="123">
        <f>Sykkel!F36</f>
        <v>0</v>
      </c>
      <c r="M37" s="123">
        <f>Sykkel!H36</f>
        <v>0</v>
      </c>
      <c r="N37" s="123">
        <f>Sykkel!J36</f>
        <v>0</v>
      </c>
      <c r="O37" s="10">
        <f>'G &amp; T'!D36</f>
        <v>0</v>
      </c>
      <c r="P37" s="10">
        <f>'G &amp; T'!F36</f>
        <v>0</v>
      </c>
      <c r="Q37" s="10">
        <f>'G &amp; T'!G36</f>
        <v>0</v>
      </c>
      <c r="R37" s="121">
        <f>TKD!D36</f>
        <v>0</v>
      </c>
      <c r="S37" s="121"/>
      <c r="T37" s="121">
        <f>TKD!E36</f>
        <v>0</v>
      </c>
      <c r="U37" s="121">
        <f>'G &amp; T'!F36+Hovedlaget!F36+Anlegg!F36+Blilie!F36+Prestmarka!F36</f>
        <v>0</v>
      </c>
      <c r="V37" s="121">
        <f>'G &amp; T'!H36+Hovedlaget!H36+Anlegg!H36+Blilie!H36+Prestmarka!H36</f>
        <v>0</v>
      </c>
      <c r="W37" s="121">
        <f>'G &amp; T'!J36+Hovedlaget!J36+Anlegg!J36+Blilie!J36+Prestmarka!J36</f>
        <v>0</v>
      </c>
      <c r="X37" s="10"/>
      <c r="Y37" s="10"/>
      <c r="Z37" s="10"/>
      <c r="AA37" s="164">
        <f t="shared" si="16"/>
        <v>0</v>
      </c>
      <c r="AB37" s="165">
        <f>'Turn '!E36+Ski!E36+Fotball!E36+Sykkel!E36+'G &amp; T'!E36+Hovedlaget!E36+Anlegg!E36+Blilie!E36+Prestmarka!E36</f>
        <v>0</v>
      </c>
      <c r="AC37" s="164">
        <f t="shared" si="17"/>
        <v>0</v>
      </c>
      <c r="AD37" s="44">
        <f t="shared" si="18"/>
        <v>0</v>
      </c>
    </row>
    <row r="38" spans="1:30" ht="19.899999999999999" customHeight="1" x14ac:dyDescent="0.25">
      <c r="A38" s="9">
        <v>6860</v>
      </c>
      <c r="B38" s="9" t="s">
        <v>27</v>
      </c>
      <c r="C38" s="123">
        <f>'Turn '!F37</f>
        <v>0</v>
      </c>
      <c r="D38" s="123">
        <f>'Turn '!H37</f>
        <v>2585.39</v>
      </c>
      <c r="E38" s="123">
        <f>'Turn '!J37</f>
        <v>0</v>
      </c>
      <c r="F38" s="123">
        <f>Ski!F37</f>
        <v>0</v>
      </c>
      <c r="G38" s="123">
        <f>Ski!H37</f>
        <v>0</v>
      </c>
      <c r="H38" s="123">
        <f>Ski!J37</f>
        <v>0</v>
      </c>
      <c r="I38" s="123">
        <f>Fotball!F37</f>
        <v>0</v>
      </c>
      <c r="J38" s="123">
        <f>Fotball!H37</f>
        <v>3825.47</v>
      </c>
      <c r="K38" s="123">
        <f>Fotball!J37</f>
        <v>12500</v>
      </c>
      <c r="L38" s="123">
        <f>Sykkel!F37</f>
        <v>0</v>
      </c>
      <c r="M38" s="123">
        <f>Sykkel!H37</f>
        <v>0</v>
      </c>
      <c r="N38" s="123">
        <f>Sykkel!J37</f>
        <v>0</v>
      </c>
      <c r="O38" s="10">
        <f>'G &amp; T'!D37</f>
        <v>0</v>
      </c>
      <c r="P38" s="10">
        <f>'G &amp; T'!F37</f>
        <v>0</v>
      </c>
      <c r="Q38" s="10">
        <f>'G &amp; T'!G37</f>
        <v>0</v>
      </c>
      <c r="R38" s="121">
        <f>TKD!D37</f>
        <v>0</v>
      </c>
      <c r="S38" s="121"/>
      <c r="T38" s="121">
        <f>TKD!E37</f>
        <v>0</v>
      </c>
      <c r="U38" s="121">
        <f>'G &amp; T'!F37+Hovedlaget!F37+Anlegg!F37+Blilie!F37+Prestmarka!F37</f>
        <v>2166</v>
      </c>
      <c r="V38" s="121">
        <f>'G &amp; T'!H37+Hovedlaget!H37+Anlegg!H37+Blilie!H37+Prestmarka!H37</f>
        <v>537.09</v>
      </c>
      <c r="W38" s="121">
        <f>'G &amp; T'!J37+Hovedlaget!J37+Anlegg!J37+Blilie!J37+Prestmarka!J37</f>
        <v>1000</v>
      </c>
      <c r="X38" s="10"/>
      <c r="Y38" s="10"/>
      <c r="Z38" s="10"/>
      <c r="AA38" s="164">
        <f t="shared" si="16"/>
        <v>2166</v>
      </c>
      <c r="AB38" s="165">
        <f>'Turn '!E37+Ski!E37+Fotball!E37+Sykkel!E37+'G &amp; T'!E37+Hovedlaget!E37+Anlegg!E37+Blilie!E37+Prestmarka!E37</f>
        <v>8213.5</v>
      </c>
      <c r="AC38" s="164">
        <f t="shared" si="17"/>
        <v>6947.95</v>
      </c>
      <c r="AD38" s="44">
        <f t="shared" si="18"/>
        <v>13500</v>
      </c>
    </row>
    <row r="39" spans="1:30" ht="19.899999999999999" hidden="1" customHeight="1" x14ac:dyDescent="0.25">
      <c r="A39" s="9">
        <v>6900</v>
      </c>
      <c r="B39" s="11" t="s">
        <v>44</v>
      </c>
      <c r="C39" s="123">
        <f>'Turn '!F38</f>
        <v>0</v>
      </c>
      <c r="D39" s="123">
        <f>'Turn '!H38</f>
        <v>0</v>
      </c>
      <c r="E39" s="123">
        <f>'Turn '!J38</f>
        <v>0</v>
      </c>
      <c r="F39" s="123">
        <f>Ski!F38</f>
        <v>0</v>
      </c>
      <c r="G39" s="123">
        <f>Ski!H38</f>
        <v>0</v>
      </c>
      <c r="H39" s="123">
        <f>Ski!J38</f>
        <v>0</v>
      </c>
      <c r="I39" s="123">
        <f>Fotball!F38</f>
        <v>0</v>
      </c>
      <c r="J39" s="123">
        <f>Fotball!H38</f>
        <v>0</v>
      </c>
      <c r="K39" s="123">
        <f>Fotball!J38</f>
        <v>0</v>
      </c>
      <c r="L39" s="123">
        <f>Sykkel!F38</f>
        <v>0</v>
      </c>
      <c r="M39" s="123">
        <f>Sykkel!H38</f>
        <v>0</v>
      </c>
      <c r="N39" s="123">
        <f>Sykkel!J38</f>
        <v>0</v>
      </c>
      <c r="O39" s="10">
        <f>'G &amp; T'!D38</f>
        <v>0</v>
      </c>
      <c r="P39" s="10">
        <f>'G &amp; T'!F38</f>
        <v>0</v>
      </c>
      <c r="Q39" s="10">
        <f>'G &amp; T'!G38</f>
        <v>0</v>
      </c>
      <c r="R39" s="121">
        <f>TKD!D38</f>
        <v>0</v>
      </c>
      <c r="S39" s="121"/>
      <c r="T39" s="121">
        <f>TKD!E38</f>
        <v>0</v>
      </c>
      <c r="U39" s="121">
        <f>'G &amp; T'!F38+Hovedlaget!F38+Anlegg!F38+Blilie!F38+Prestmarka!F38</f>
        <v>1000</v>
      </c>
      <c r="V39" s="121">
        <f>'G &amp; T'!H38+Hovedlaget!H38+Anlegg!H38+Blilie!H38+Prestmarka!H38</f>
        <v>1059.81</v>
      </c>
      <c r="W39" s="121">
        <f>'G &amp; T'!J38+Hovedlaget!J38+Anlegg!J38+Blilie!J38+Prestmarka!J38</f>
        <v>0</v>
      </c>
      <c r="X39" s="10"/>
      <c r="Y39" s="10"/>
      <c r="Z39" s="10"/>
      <c r="AA39" s="164">
        <f t="shared" si="16"/>
        <v>1000</v>
      </c>
      <c r="AB39" s="165">
        <f>'Turn '!E38+Ski!E38+Fotball!E38+Sykkel!E38+'G &amp; T'!E38+Hovedlaget!E38+Anlegg!E38+Blilie!E38+Prestmarka!E38</f>
        <v>0</v>
      </c>
      <c r="AC39" s="164">
        <f t="shared" si="17"/>
        <v>1059.81</v>
      </c>
      <c r="AD39" s="44">
        <f t="shared" si="18"/>
        <v>0</v>
      </c>
    </row>
    <row r="40" spans="1:30" ht="19.899999999999999" customHeight="1" x14ac:dyDescent="0.25">
      <c r="A40" s="9">
        <v>6940</v>
      </c>
      <c r="B40" s="13" t="s">
        <v>29</v>
      </c>
      <c r="C40" s="123">
        <f>'Turn '!F39</f>
        <v>0</v>
      </c>
      <c r="D40" s="123">
        <f>'Turn '!H39</f>
        <v>0</v>
      </c>
      <c r="E40" s="123">
        <f>'Turn '!J39</f>
        <v>0</v>
      </c>
      <c r="F40" s="123">
        <f>Ski!F39</f>
        <v>0</v>
      </c>
      <c r="G40" s="123">
        <f>Ski!H39</f>
        <v>0</v>
      </c>
      <c r="H40" s="123">
        <f>Ski!J39</f>
        <v>0</v>
      </c>
      <c r="I40" s="123">
        <f>Fotball!F39</f>
        <v>0</v>
      </c>
      <c r="J40" s="123">
        <f>Fotball!H39</f>
        <v>0</v>
      </c>
      <c r="K40" s="123">
        <f>Fotball!J39</f>
        <v>0</v>
      </c>
      <c r="L40" s="123">
        <f>Sykkel!F39</f>
        <v>0</v>
      </c>
      <c r="M40" s="123">
        <f>Sykkel!H39</f>
        <v>0</v>
      </c>
      <c r="N40" s="123">
        <f>Sykkel!J39</f>
        <v>0</v>
      </c>
      <c r="O40" s="10">
        <f>'G &amp; T'!D39</f>
        <v>0</v>
      </c>
      <c r="P40" s="10">
        <f>'G &amp; T'!F39</f>
        <v>0</v>
      </c>
      <c r="Q40" s="10">
        <f>'G &amp; T'!G39</f>
        <v>0</v>
      </c>
      <c r="R40" s="121">
        <f>TKD!D39</f>
        <v>0</v>
      </c>
      <c r="S40" s="121"/>
      <c r="T40" s="121">
        <f>TKD!E39</f>
        <v>0</v>
      </c>
      <c r="U40" s="121">
        <f>'G &amp; T'!F39+Hovedlaget!F39+Anlegg!F39+Blilie!F39+Prestmarka!F39</f>
        <v>1625.75</v>
      </c>
      <c r="V40" s="121">
        <f>'G &amp; T'!H39+Hovedlaget!H39+Anlegg!H39+Blilie!H39+Prestmarka!H39</f>
        <v>2047.45</v>
      </c>
      <c r="W40" s="121">
        <f>'G &amp; T'!J39+Hovedlaget!J39+Anlegg!J39+Blilie!J39+Prestmarka!J39</f>
        <v>2000</v>
      </c>
      <c r="X40" s="10"/>
      <c r="Y40" s="10"/>
      <c r="Z40" s="10"/>
      <c r="AA40" s="164">
        <f t="shared" si="16"/>
        <v>1625.75</v>
      </c>
      <c r="AB40" s="165">
        <f>'Turn '!E39+Ski!E39+Fotball!E39+Sykkel!E39+'G &amp; T'!E39+Hovedlaget!E39+Anlegg!E39+Blilie!E39+Prestmarka!E39</f>
        <v>1277</v>
      </c>
      <c r="AC40" s="164">
        <f t="shared" si="17"/>
        <v>2047.45</v>
      </c>
      <c r="AD40" s="44">
        <f t="shared" si="18"/>
        <v>2000</v>
      </c>
    </row>
    <row r="41" spans="1:30" ht="19.899999999999999" customHeight="1" x14ac:dyDescent="0.25">
      <c r="A41" s="9">
        <v>7000</v>
      </c>
      <c r="B41" s="13" t="s">
        <v>48</v>
      </c>
      <c r="C41" s="123">
        <f>'Turn '!F40</f>
        <v>0</v>
      </c>
      <c r="D41" s="123">
        <f>'Turn '!H40</f>
        <v>0</v>
      </c>
      <c r="E41" s="123">
        <f>'Turn '!J40</f>
        <v>0</v>
      </c>
      <c r="F41" s="123">
        <f>Ski!F40</f>
        <v>0</v>
      </c>
      <c r="G41" s="123">
        <f>Ski!H40</f>
        <v>0</v>
      </c>
      <c r="H41" s="123">
        <f>Ski!J40</f>
        <v>0</v>
      </c>
      <c r="I41" s="123">
        <f>Fotball!F40</f>
        <v>0</v>
      </c>
      <c r="J41" s="123">
        <f>Fotball!H40</f>
        <v>0</v>
      </c>
      <c r="K41" s="123">
        <f>Fotball!J40</f>
        <v>0</v>
      </c>
      <c r="L41" s="123">
        <f>Sykkel!F40</f>
        <v>0</v>
      </c>
      <c r="M41" s="123">
        <f>Sykkel!H40</f>
        <v>0</v>
      </c>
      <c r="N41" s="123">
        <f>Sykkel!J40</f>
        <v>0</v>
      </c>
      <c r="O41" s="10">
        <f>'G &amp; T'!D40</f>
        <v>0</v>
      </c>
      <c r="P41" s="10">
        <f>'G &amp; T'!F40</f>
        <v>0</v>
      </c>
      <c r="Q41" s="10">
        <f>'G &amp; T'!G40</f>
        <v>0</v>
      </c>
      <c r="R41" s="121">
        <f>TKD!D40</f>
        <v>0</v>
      </c>
      <c r="S41" s="121"/>
      <c r="T41" s="121">
        <f>TKD!E40</f>
        <v>0</v>
      </c>
      <c r="U41" s="121">
        <f>'G &amp; T'!F40+Hovedlaget!F40+Anlegg!F40+Blilie!F40+Prestmarka!F40</f>
        <v>15194.23</v>
      </c>
      <c r="V41" s="121">
        <f>'G &amp; T'!H40+Hovedlaget!H40+Anlegg!H40+Blilie!H40+Prestmarka!H40</f>
        <v>13058.65</v>
      </c>
      <c r="W41" s="121">
        <f>'G &amp; T'!J40+Hovedlaget!J40+Anlegg!J40+Blilie!J40+Prestmarka!J40</f>
        <v>12000</v>
      </c>
      <c r="X41" s="10"/>
      <c r="Y41" s="10"/>
      <c r="Z41" s="10"/>
      <c r="AA41" s="164">
        <f t="shared" si="16"/>
        <v>15194.23</v>
      </c>
      <c r="AB41" s="165">
        <f>'Turn '!E40+Ski!E40+Fotball!E40+Sykkel!E40+'G &amp; T'!E40+Hovedlaget!E40+Anlegg!E40+Blilie!E40+Prestmarka!E40</f>
        <v>20888</v>
      </c>
      <c r="AC41" s="164">
        <f t="shared" si="17"/>
        <v>13058.65</v>
      </c>
      <c r="AD41" s="44">
        <f t="shared" si="18"/>
        <v>12000</v>
      </c>
    </row>
    <row r="42" spans="1:30" ht="19.899999999999999" customHeight="1" x14ac:dyDescent="0.25">
      <c r="A42" s="9">
        <v>7140</v>
      </c>
      <c r="B42" s="13" t="s">
        <v>90</v>
      </c>
      <c r="C42" s="123">
        <f>'Turn '!F41</f>
        <v>0</v>
      </c>
      <c r="D42" s="123">
        <f>'Turn '!H41</f>
        <v>1141.3</v>
      </c>
      <c r="E42" s="123">
        <f>'Turn '!J41</f>
        <v>0</v>
      </c>
      <c r="F42" s="123">
        <f>Ski!F41</f>
        <v>0</v>
      </c>
      <c r="G42" s="123">
        <f>Ski!H41</f>
        <v>0</v>
      </c>
      <c r="H42" s="123">
        <f>Ski!J41</f>
        <v>0</v>
      </c>
      <c r="I42" s="123">
        <f>Fotball!F41</f>
        <v>73038</v>
      </c>
      <c r="J42" s="123">
        <f>Fotball!H41</f>
        <v>5000</v>
      </c>
      <c r="K42" s="123">
        <f>Fotball!J41</f>
        <v>20000</v>
      </c>
      <c r="L42" s="123">
        <f>Sykkel!F41</f>
        <v>0</v>
      </c>
      <c r="M42" s="123">
        <f>Sykkel!H41</f>
        <v>0</v>
      </c>
      <c r="N42" s="123">
        <f>Sykkel!J41</f>
        <v>0</v>
      </c>
      <c r="O42" s="10">
        <f>'G &amp; T'!D41</f>
        <v>0</v>
      </c>
      <c r="P42" s="10">
        <f>'G &amp; T'!F41</f>
        <v>0</v>
      </c>
      <c r="Q42" s="10">
        <f>'G &amp; T'!G41</f>
        <v>0</v>
      </c>
      <c r="R42" s="121">
        <f>TKD!D41</f>
        <v>0</v>
      </c>
      <c r="S42" s="121"/>
      <c r="T42" s="121">
        <f>TKD!E41</f>
        <v>0</v>
      </c>
      <c r="U42" s="121">
        <f>'G &amp; T'!F41+Hovedlaget!F41+Anlegg!F41+Blilie!F41+Prestmarka!F41</f>
        <v>2160</v>
      </c>
      <c r="V42" s="121">
        <f>'G &amp; T'!H41+Hovedlaget!H41+Anlegg!H41+Blilie!H41+Prestmarka!H41</f>
        <v>0</v>
      </c>
      <c r="W42" s="121">
        <f>'G &amp; T'!J41+Hovedlaget!J41+Anlegg!J41+Blilie!J41+Prestmarka!J41</f>
        <v>0</v>
      </c>
      <c r="X42" s="10"/>
      <c r="Y42" s="10"/>
      <c r="Z42" s="10"/>
      <c r="AA42" s="164">
        <f t="shared" si="16"/>
        <v>75198</v>
      </c>
      <c r="AB42" s="165">
        <f>'Turn '!E41+Ski!E41+Fotball!E41+Sykkel!E41+'G &amp; T'!E41+Hovedlaget!E41+Anlegg!E41+Blilie!E41+Prestmarka!E41</f>
        <v>39441</v>
      </c>
      <c r="AC42" s="164">
        <f t="shared" si="17"/>
        <v>6141.3</v>
      </c>
      <c r="AD42" s="44">
        <f t="shared" si="18"/>
        <v>20000</v>
      </c>
    </row>
    <row r="43" spans="1:30" ht="19.899999999999999" customHeight="1" x14ac:dyDescent="0.25">
      <c r="A43" s="9">
        <v>7320</v>
      </c>
      <c r="B43" s="23" t="s">
        <v>30</v>
      </c>
      <c r="C43" s="123">
        <f>'Turn '!F42</f>
        <v>0</v>
      </c>
      <c r="D43" s="123">
        <f>'Turn '!H42</f>
        <v>0</v>
      </c>
      <c r="E43" s="123">
        <f>'Turn '!J42</f>
        <v>0</v>
      </c>
      <c r="F43" s="123">
        <f>Ski!F42</f>
        <v>0</v>
      </c>
      <c r="G43" s="123">
        <f>Ski!H42</f>
        <v>0</v>
      </c>
      <c r="H43" s="123">
        <f>Ski!J42</f>
        <v>0</v>
      </c>
      <c r="I43" s="123">
        <f>Fotball!F42</f>
        <v>0</v>
      </c>
      <c r="J43" s="123">
        <f>Fotball!H42</f>
        <v>0</v>
      </c>
      <c r="K43" s="123">
        <f>Fotball!J42</f>
        <v>0</v>
      </c>
      <c r="L43" s="123">
        <f>Sykkel!F42</f>
        <v>0</v>
      </c>
      <c r="M43" s="123">
        <f>Sykkel!H42</f>
        <v>0</v>
      </c>
      <c r="N43" s="123">
        <f>Sykkel!J42</f>
        <v>0</v>
      </c>
      <c r="O43" s="10"/>
      <c r="P43" s="10"/>
      <c r="Q43" s="10"/>
      <c r="R43" s="121">
        <f>TKD!D42</f>
        <v>0</v>
      </c>
      <c r="S43" s="121"/>
      <c r="T43" s="121">
        <f>TKD!E42</f>
        <v>0</v>
      </c>
      <c r="U43" s="121">
        <f>'G &amp; T'!F42+Hovedlaget!F42+Anlegg!F42+Blilie!F42+Prestmarka!F42</f>
        <v>0</v>
      </c>
      <c r="V43" s="121">
        <f>'G &amp; T'!H42+Hovedlaget!H42+Anlegg!H42+Blilie!H42+Prestmarka!H42</f>
        <v>16277.5</v>
      </c>
      <c r="W43" s="121">
        <f>'G &amp; T'!J42+Hovedlaget!J42+Anlegg!J42+Blilie!J42+Prestmarka!J42</f>
        <v>2000</v>
      </c>
      <c r="X43" s="10"/>
      <c r="Y43" s="10"/>
      <c r="Z43" s="10"/>
      <c r="AA43" s="164">
        <f t="shared" si="16"/>
        <v>0</v>
      </c>
      <c r="AB43" s="165">
        <f>'Turn '!E42+Ski!E42+Fotball!E42+Sykkel!E42+'G &amp; T'!E42+Hovedlaget!E42+Anlegg!E42+Blilie!E42+Prestmarka!E42</f>
        <v>1024</v>
      </c>
      <c r="AC43" s="164">
        <f t="shared" si="17"/>
        <v>16277.5</v>
      </c>
      <c r="AD43" s="44">
        <f t="shared" si="18"/>
        <v>2000</v>
      </c>
    </row>
    <row r="44" spans="1:30" ht="19.899999999999999" customHeight="1" x14ac:dyDescent="0.25">
      <c r="A44" s="9">
        <v>7400</v>
      </c>
      <c r="B44" s="9" t="s">
        <v>31</v>
      </c>
      <c r="C44" s="123">
        <f>'Turn '!F43</f>
        <v>16200</v>
      </c>
      <c r="D44" s="123">
        <f>'Turn '!H43</f>
        <v>11970</v>
      </c>
      <c r="E44" s="123">
        <f>'Turn '!J43</f>
        <v>16000</v>
      </c>
      <c r="F44" s="123">
        <f>Ski!F43</f>
        <v>4750</v>
      </c>
      <c r="G44" s="123">
        <f>Ski!H43</f>
        <v>4675</v>
      </c>
      <c r="H44" s="123">
        <f>Ski!J43</f>
        <v>4000</v>
      </c>
      <c r="I44" s="123">
        <f>Fotball!F43</f>
        <v>48515</v>
      </c>
      <c r="J44" s="123">
        <f>Fotball!H43</f>
        <v>40850</v>
      </c>
      <c r="K44" s="123">
        <f>Fotball!J43</f>
        <v>42600</v>
      </c>
      <c r="L44" s="123">
        <f>Sykkel!F43</f>
        <v>5000</v>
      </c>
      <c r="M44" s="123">
        <f>Sykkel!H43</f>
        <v>5875</v>
      </c>
      <c r="N44" s="123">
        <f>Sykkel!J43</f>
        <v>5000</v>
      </c>
      <c r="O44" s="10">
        <f>'G &amp; T'!D43</f>
        <v>0</v>
      </c>
      <c r="P44" s="10">
        <f>'G &amp; T'!F43</f>
        <v>0</v>
      </c>
      <c r="Q44" s="10">
        <f>'G &amp; T'!G43</f>
        <v>0</v>
      </c>
      <c r="R44" s="121">
        <f>TKD!D43</f>
        <v>0</v>
      </c>
      <c r="S44" s="121"/>
      <c r="T44" s="121">
        <f>TKD!E43</f>
        <v>2720</v>
      </c>
      <c r="U44" s="121">
        <f>'G &amp; T'!F43+Hovedlaget!F43+Anlegg!F43+Blilie!F43+Prestmarka!F43</f>
        <v>1000</v>
      </c>
      <c r="V44" s="121">
        <f>'G &amp; T'!H43+Hovedlaget!H43+Anlegg!H43+Blilie!H43+Prestmarka!H43</f>
        <v>4000</v>
      </c>
      <c r="W44" s="121">
        <f>'G &amp; T'!J43+Hovedlaget!J43+Anlegg!J43+Blilie!J43+Prestmarka!J43</f>
        <v>1000</v>
      </c>
      <c r="X44" s="10"/>
      <c r="Y44" s="10"/>
      <c r="Z44" s="10"/>
      <c r="AA44" s="164">
        <f t="shared" si="16"/>
        <v>75465</v>
      </c>
      <c r="AB44" s="165">
        <f>'Turn '!E43+Ski!E43+Fotball!E43+Sykkel!E43+'G &amp; T'!E43+Hovedlaget!E43+Anlegg!E43+Blilie!E43+Prestmarka!E43</f>
        <v>48615</v>
      </c>
      <c r="AC44" s="164">
        <f t="shared" si="17"/>
        <v>67370</v>
      </c>
      <c r="AD44" s="44">
        <f t="shared" si="18"/>
        <v>71320</v>
      </c>
    </row>
    <row r="45" spans="1:30" ht="19.899999999999999" customHeight="1" x14ac:dyDescent="0.25">
      <c r="A45" s="9">
        <v>7420</v>
      </c>
      <c r="B45" s="13" t="s">
        <v>12</v>
      </c>
      <c r="C45" s="123">
        <f>'Turn '!F44</f>
        <v>2315</v>
      </c>
      <c r="D45" s="123">
        <f>'Turn '!H44</f>
        <v>2490</v>
      </c>
      <c r="E45" s="123">
        <f>'Turn '!J44</f>
        <v>1800</v>
      </c>
      <c r="F45" s="123">
        <f>Ski!F44</f>
        <v>4500</v>
      </c>
      <c r="G45" s="123">
        <f>Ski!H44</f>
        <v>1500</v>
      </c>
      <c r="H45" s="123">
        <f>Ski!J44</f>
        <v>1500</v>
      </c>
      <c r="I45" s="123">
        <f>Fotball!F44</f>
        <v>2130</v>
      </c>
      <c r="J45" s="123">
        <f>Fotball!H44</f>
        <v>13999</v>
      </c>
      <c r="K45" s="123">
        <f>Fotball!J44</f>
        <v>7000</v>
      </c>
      <c r="L45" s="123">
        <f>Sykkel!F44</f>
        <v>0</v>
      </c>
      <c r="M45" s="123">
        <f>Sykkel!H44</f>
        <v>0</v>
      </c>
      <c r="N45" s="123">
        <f>Sykkel!J44</f>
        <v>0</v>
      </c>
      <c r="O45" s="10">
        <f>'G &amp; T'!D44</f>
        <v>0</v>
      </c>
      <c r="P45" s="10">
        <f>'G &amp; T'!F44</f>
        <v>0</v>
      </c>
      <c r="Q45" s="10">
        <f>'G &amp; T'!G44</f>
        <v>0</v>
      </c>
      <c r="R45" s="121">
        <f>TKD!D44</f>
        <v>0</v>
      </c>
      <c r="S45" s="121"/>
      <c r="T45" s="121">
        <f>TKD!E44</f>
        <v>0</v>
      </c>
      <c r="U45" s="121">
        <f>'G &amp; T'!F44+Hovedlaget!F44+Anlegg!F44+Blilie!F44+Prestmarka!F44</f>
        <v>4389.3999999999996</v>
      </c>
      <c r="V45" s="121">
        <f>'G &amp; T'!H44+Hovedlaget!H44+Anlegg!H44+Blilie!H44+Prestmarka!H44</f>
        <v>5014</v>
      </c>
      <c r="W45" s="121">
        <f>'G &amp; T'!J44+Hovedlaget!J44+Anlegg!J44+Blilie!J44+Prestmarka!J44</f>
        <v>4500</v>
      </c>
      <c r="X45" s="10"/>
      <c r="Y45" s="10"/>
      <c r="Z45" s="10"/>
      <c r="AA45" s="164">
        <f t="shared" si="16"/>
        <v>13334.4</v>
      </c>
      <c r="AB45" s="165">
        <f>'Turn '!E44+Ski!E44+Fotball!E44+Sykkel!E44+'G &amp; T'!E44+Hovedlaget!E44+Anlegg!E44+Blilie!E44+Prestmarka!E44</f>
        <v>12430</v>
      </c>
      <c r="AC45" s="164">
        <f t="shared" si="17"/>
        <v>23003</v>
      </c>
      <c r="AD45" s="44">
        <f t="shared" si="18"/>
        <v>14800</v>
      </c>
    </row>
    <row r="46" spans="1:30" ht="19.899999999999999" customHeight="1" x14ac:dyDescent="0.25">
      <c r="A46" s="9">
        <v>7500</v>
      </c>
      <c r="B46" s="13" t="s">
        <v>21</v>
      </c>
      <c r="C46" s="123">
        <f>'Turn '!F45</f>
        <v>0</v>
      </c>
      <c r="D46" s="123">
        <f>'Turn '!H45</f>
        <v>0</v>
      </c>
      <c r="E46" s="123">
        <f>'Turn '!J45</f>
        <v>0</v>
      </c>
      <c r="F46" s="123">
        <f>Ski!F45</f>
        <v>0</v>
      </c>
      <c r="G46" s="123">
        <f>Ski!H45</f>
        <v>0</v>
      </c>
      <c r="H46" s="123">
        <f>Ski!J45</f>
        <v>0</v>
      </c>
      <c r="I46" s="123">
        <f>Fotball!F45</f>
        <v>0</v>
      </c>
      <c r="J46" s="123">
        <f>Fotball!H45</f>
        <v>11100</v>
      </c>
      <c r="K46" s="123">
        <f>Fotball!J45</f>
        <v>10500</v>
      </c>
      <c r="L46" s="123">
        <f>Sykkel!F45</f>
        <v>0</v>
      </c>
      <c r="M46" s="123">
        <f>Sykkel!H45</f>
        <v>0</v>
      </c>
      <c r="N46" s="123">
        <f>Sykkel!J45</f>
        <v>0</v>
      </c>
      <c r="O46" s="10">
        <f>'G &amp; T'!D45</f>
        <v>0</v>
      </c>
      <c r="P46" s="10">
        <f>'G &amp; T'!F45</f>
        <v>0</v>
      </c>
      <c r="Q46" s="10">
        <f>'G &amp; T'!G45</f>
        <v>0</v>
      </c>
      <c r="R46" s="121">
        <f>TKD!D45</f>
        <v>0</v>
      </c>
      <c r="S46" s="121"/>
      <c r="T46" s="121">
        <f>TKD!E45</f>
        <v>0</v>
      </c>
      <c r="U46" s="121">
        <f>'G &amp; T'!F45+Hovedlaget!F45+Anlegg!F45+Blilie!F45+Prestmarka!F45</f>
        <v>60825</v>
      </c>
      <c r="V46" s="121">
        <f>'G &amp; T'!H45+Hovedlaget!H45+Anlegg!H45+Blilie!H45+Prestmarka!H45</f>
        <v>42269</v>
      </c>
      <c r="W46" s="121">
        <f>'G &amp; T'!J45+Hovedlaget!J45+Anlegg!J45+Blilie!J45+Prestmarka!J45</f>
        <v>45000</v>
      </c>
      <c r="X46" s="10"/>
      <c r="Y46" s="10"/>
      <c r="Z46" s="10"/>
      <c r="AA46" s="164">
        <f t="shared" si="16"/>
        <v>60825</v>
      </c>
      <c r="AB46" s="165">
        <f>'Turn '!E45+Ski!E45+Fotball!E45+Sykkel!E45+'G &amp; T'!E45+Hovedlaget!E45+Anlegg!E45+Blilie!E45+Prestmarka!E45</f>
        <v>66171.600000000006</v>
      </c>
      <c r="AC46" s="164">
        <f t="shared" si="17"/>
        <v>53369</v>
      </c>
      <c r="AD46" s="44">
        <f t="shared" si="18"/>
        <v>55500</v>
      </c>
    </row>
    <row r="47" spans="1:30" s="144" customFormat="1" ht="19.899999999999999" customHeight="1" x14ac:dyDescent="0.25">
      <c r="A47" s="13">
        <v>7745</v>
      </c>
      <c r="B47" s="13" t="s">
        <v>92</v>
      </c>
      <c r="C47" s="123">
        <f>'Turn '!F46</f>
        <v>400</v>
      </c>
      <c r="D47" s="123">
        <f>'Turn '!H46</f>
        <v>2422</v>
      </c>
      <c r="E47" s="123">
        <f>'Turn '!J46</f>
        <v>4000</v>
      </c>
      <c r="F47" s="123">
        <f>Ski!F46</f>
        <v>0</v>
      </c>
      <c r="G47" s="123">
        <f>Ski!H46</f>
        <v>0</v>
      </c>
      <c r="H47" s="123">
        <f>Ski!J46</f>
        <v>0</v>
      </c>
      <c r="I47" s="123">
        <f>Fotball!F46</f>
        <v>3500</v>
      </c>
      <c r="J47" s="123">
        <f>Fotball!H46</f>
        <v>3080</v>
      </c>
      <c r="K47" s="123">
        <f>Fotball!J46</f>
        <v>4000</v>
      </c>
      <c r="L47" s="123">
        <f>Sykkel!F46</f>
        <v>0</v>
      </c>
      <c r="M47" s="123">
        <f>Sykkel!H46</f>
        <v>0</v>
      </c>
      <c r="N47" s="123">
        <f>Sykkel!J46</f>
        <v>0</v>
      </c>
      <c r="O47" s="123">
        <f>'G &amp; T'!D46</f>
        <v>0</v>
      </c>
      <c r="P47" s="123">
        <f>'G &amp; T'!F46</f>
        <v>0</v>
      </c>
      <c r="Q47" s="123">
        <f>'G &amp; T'!G46</f>
        <v>0</v>
      </c>
      <c r="R47" s="121">
        <f>TKD!D46</f>
        <v>0</v>
      </c>
      <c r="S47" s="121"/>
      <c r="T47" s="121">
        <f>TKD!E46</f>
        <v>10000</v>
      </c>
      <c r="U47" s="121">
        <f>'G &amp; T'!F46+Hovedlaget!F46+Anlegg!F46+Blilie!F46+Prestmarka!F46</f>
        <v>0</v>
      </c>
      <c r="V47" s="121">
        <f>'G &amp; T'!H46+Hovedlaget!H46+Anlegg!H46+Blilie!H46+Prestmarka!H46</f>
        <v>0.4</v>
      </c>
      <c r="W47" s="121">
        <f>'G &amp; T'!J46+Hovedlaget!J46+Anlegg!J46+Blilie!J46+Prestmarka!J46</f>
        <v>10000</v>
      </c>
      <c r="X47" s="123"/>
      <c r="Y47" s="123"/>
      <c r="Z47" s="123"/>
      <c r="AA47" s="164">
        <f t="shared" si="16"/>
        <v>3900</v>
      </c>
      <c r="AB47" s="165">
        <f>'Turn '!E46+Ski!E46+Fotball!E46+Sykkel!E46+'G &amp; T'!E46+Hovedlaget!E46+Anlegg!E46+Blilie!E46+Prestmarka!E46</f>
        <v>3740</v>
      </c>
      <c r="AC47" s="164">
        <f t="shared" si="17"/>
        <v>5502.4</v>
      </c>
      <c r="AD47" s="44">
        <f t="shared" si="18"/>
        <v>28000</v>
      </c>
    </row>
    <row r="48" spans="1:30" ht="19.899999999999999" customHeight="1" x14ac:dyDescent="0.25">
      <c r="A48" s="9">
        <v>7750</v>
      </c>
      <c r="B48" s="9" t="s">
        <v>32</v>
      </c>
      <c r="C48" s="123">
        <f>'Turn '!F47</f>
        <v>24395</v>
      </c>
      <c r="D48" s="123">
        <f>'Turn '!H47</f>
        <v>42587.8</v>
      </c>
      <c r="E48" s="123">
        <f>'Turn '!J47</f>
        <v>31000</v>
      </c>
      <c r="F48" s="123">
        <f>Ski!F47</f>
        <v>13675</v>
      </c>
      <c r="G48" s="123">
        <f>Ski!H47</f>
        <v>4340</v>
      </c>
      <c r="H48" s="123">
        <f>Ski!J47</f>
        <v>5000</v>
      </c>
      <c r="I48" s="123">
        <f>Fotball!F47</f>
        <v>620583</v>
      </c>
      <c r="J48" s="123">
        <f>Fotball!H47</f>
        <v>229212.79999999999</v>
      </c>
      <c r="K48" s="123">
        <f>Fotball!J47</f>
        <v>123000</v>
      </c>
      <c r="L48" s="123">
        <f>Sykkel!F47</f>
        <v>2414.5</v>
      </c>
      <c r="M48" s="123">
        <f>Sykkel!H47</f>
        <v>4500</v>
      </c>
      <c r="N48" s="123">
        <f>Sykkel!J47</f>
        <v>0</v>
      </c>
      <c r="O48" s="10">
        <f>'G &amp; T'!D47</f>
        <v>0</v>
      </c>
      <c r="P48" s="10">
        <f>'G &amp; T'!F47</f>
        <v>0</v>
      </c>
      <c r="Q48" s="10">
        <f>'G &amp; T'!G47</f>
        <v>0</v>
      </c>
      <c r="R48" s="121">
        <f>TKD!D47</f>
        <v>0</v>
      </c>
      <c r="S48" s="121"/>
      <c r="T48" s="121">
        <f>TKD!E47</f>
        <v>6000</v>
      </c>
      <c r="U48" s="121">
        <f>'G &amp; T'!F47+Hovedlaget!F47+Anlegg!F47+Blilie!F47+Prestmarka!F47</f>
        <v>10070.6</v>
      </c>
      <c r="V48" s="121">
        <f>'G &amp; T'!H47+Hovedlaget!H47+Anlegg!H47+Blilie!H47+Prestmarka!H47</f>
        <v>0</v>
      </c>
      <c r="W48" s="121">
        <f>'G &amp; T'!J47+Hovedlaget!J47+Anlegg!J47+Blilie!J47+Prestmarka!J47</f>
        <v>0</v>
      </c>
      <c r="X48" s="10"/>
      <c r="Y48" s="10"/>
      <c r="Z48" s="10"/>
      <c r="AA48" s="164">
        <f t="shared" si="16"/>
        <v>671138.1</v>
      </c>
      <c r="AB48" s="165">
        <f>'Turn '!E47+Ski!E47+Fotball!E47+Sykkel!E47+'G &amp; T'!E47+Hovedlaget!E47+Anlegg!E47+Blilie!E47+Prestmarka!E47</f>
        <v>323360</v>
      </c>
      <c r="AC48" s="164">
        <f t="shared" si="17"/>
        <v>280640.59999999998</v>
      </c>
      <c r="AD48" s="44">
        <f t="shared" si="18"/>
        <v>165000</v>
      </c>
    </row>
    <row r="49" spans="1:32" ht="19.899999999999999" customHeight="1" x14ac:dyDescent="0.25">
      <c r="A49" s="9">
        <v>7755</v>
      </c>
      <c r="B49" s="9" t="s">
        <v>33</v>
      </c>
      <c r="C49" s="123">
        <f>'Turn '!F48</f>
        <v>0</v>
      </c>
      <c r="D49" s="123">
        <f>'Turn '!H48</f>
        <v>1800</v>
      </c>
      <c r="E49" s="123">
        <f>'Turn '!J48</f>
        <v>0</v>
      </c>
      <c r="F49" s="123">
        <f>Ski!F48</f>
        <v>0</v>
      </c>
      <c r="G49" s="123">
        <f>Ski!H48</f>
        <v>0</v>
      </c>
      <c r="H49" s="123">
        <f>Ski!J48</f>
        <v>3000</v>
      </c>
      <c r="I49" s="123">
        <f>Fotball!F48</f>
        <v>123425</v>
      </c>
      <c r="J49" s="123">
        <f>Fotball!H48</f>
        <v>88055.6</v>
      </c>
      <c r="K49" s="123">
        <f>Fotball!J48</f>
        <v>47750</v>
      </c>
      <c r="L49" s="123">
        <f>Sykkel!F48</f>
        <v>0</v>
      </c>
      <c r="M49" s="123">
        <f>Sykkel!H48</f>
        <v>0</v>
      </c>
      <c r="N49" s="123">
        <f>Sykkel!J48</f>
        <v>0</v>
      </c>
      <c r="O49" s="10">
        <f>'G &amp; T'!D48</f>
        <v>0</v>
      </c>
      <c r="P49" s="10">
        <f>'G &amp; T'!F48</f>
        <v>0</v>
      </c>
      <c r="Q49" s="10">
        <f>'G &amp; T'!G48</f>
        <v>0</v>
      </c>
      <c r="R49" s="121">
        <f>TKD!D48</f>
        <v>0</v>
      </c>
      <c r="S49" s="121"/>
      <c r="T49" s="121">
        <f>TKD!E48</f>
        <v>3000</v>
      </c>
      <c r="U49" s="121">
        <f>'G &amp; T'!F48+Hovedlaget!F48+Anlegg!F48+Blilie!F48+Prestmarka!F48</f>
        <v>0</v>
      </c>
      <c r="V49" s="121">
        <f>'G &amp; T'!H48+Hovedlaget!H48+Anlegg!H48+Blilie!H48+Prestmarka!H48</f>
        <v>0</v>
      </c>
      <c r="W49" s="121">
        <f>'G &amp; T'!J48+Hovedlaget!J48+Anlegg!J48+Blilie!J48+Prestmarka!J48</f>
        <v>0</v>
      </c>
      <c r="X49" s="10"/>
      <c r="Y49" s="10"/>
      <c r="Z49" s="10"/>
      <c r="AA49" s="164">
        <f t="shared" si="16"/>
        <v>123425</v>
      </c>
      <c r="AB49" s="165">
        <f>'Turn '!E48+Ski!E48+Fotball!E48+Sykkel!E48+'G &amp; T'!E48+Hovedlaget!E48+Anlegg!E48+Blilie!E48+Prestmarka!E48</f>
        <v>46298</v>
      </c>
      <c r="AC49" s="164">
        <f t="shared" si="17"/>
        <v>89855.6</v>
      </c>
      <c r="AD49" s="44">
        <f t="shared" si="18"/>
        <v>53750</v>
      </c>
    </row>
    <row r="50" spans="1:32" ht="19.899999999999999" customHeight="1" x14ac:dyDescent="0.25">
      <c r="A50" s="9">
        <v>7770</v>
      </c>
      <c r="B50" s="13" t="s">
        <v>46</v>
      </c>
      <c r="C50" s="123">
        <f>'Turn '!F49</f>
        <v>60</v>
      </c>
      <c r="D50" s="123">
        <f>'Turn '!H49</f>
        <v>0</v>
      </c>
      <c r="E50" s="123">
        <f>'Turn '!J49</f>
        <v>0</v>
      </c>
      <c r="F50" s="123">
        <f>Ski!F49</f>
        <v>0</v>
      </c>
      <c r="G50" s="123">
        <f>Ski!H49</f>
        <v>0</v>
      </c>
      <c r="H50" s="123">
        <f>Ski!J49</f>
        <v>0</v>
      </c>
      <c r="I50" s="123">
        <f>Fotball!F49</f>
        <v>90</v>
      </c>
      <c r="J50" s="123">
        <f>Fotball!H49</f>
        <v>0</v>
      </c>
      <c r="K50" s="123">
        <f>Fotball!J49</f>
        <v>0</v>
      </c>
      <c r="L50" s="123">
        <f>Sykkel!F49</f>
        <v>0</v>
      </c>
      <c r="M50" s="123">
        <f>Sykkel!H49</f>
        <v>0</v>
      </c>
      <c r="N50" s="123">
        <f>Sykkel!J49</f>
        <v>0</v>
      </c>
      <c r="O50" s="10">
        <f>'G &amp; T'!D49</f>
        <v>0</v>
      </c>
      <c r="P50" s="10">
        <f>'G &amp; T'!F49</f>
        <v>0</v>
      </c>
      <c r="Q50" s="10">
        <f>'G &amp; T'!G49</f>
        <v>0</v>
      </c>
      <c r="R50" s="121">
        <f>TKD!D49</f>
        <v>0</v>
      </c>
      <c r="S50" s="121"/>
      <c r="T50" s="121">
        <f>TKD!E49</f>
        <v>0</v>
      </c>
      <c r="U50" s="121">
        <f>'G &amp; T'!F49+Hovedlaget!F49+Anlegg!F49+Blilie!F49+Prestmarka!F49</f>
        <v>2323</v>
      </c>
      <c r="V50" s="121">
        <f>'G &amp; T'!H49+Hovedlaget!H49+Anlegg!H49+Blilie!H49+Prestmarka!H49</f>
        <v>2645</v>
      </c>
      <c r="W50" s="121">
        <f>'G &amp; T'!J49+Hovedlaget!J49+Anlegg!J49+Blilie!J49+Prestmarka!J49</f>
        <v>2500</v>
      </c>
      <c r="X50" s="10"/>
      <c r="Y50" s="10"/>
      <c r="Z50" s="10"/>
      <c r="AA50" s="164">
        <f t="shared" si="16"/>
        <v>2473</v>
      </c>
      <c r="AB50" s="165">
        <f>'Turn '!E49+Ski!E49+Fotball!E49+Sykkel!E49+'G &amp; T'!E49+Hovedlaget!E49+Anlegg!E49+Blilie!E49+Prestmarka!E49</f>
        <v>1872</v>
      </c>
      <c r="AC50" s="164">
        <f t="shared" si="17"/>
        <v>2645</v>
      </c>
      <c r="AD50" s="44">
        <f t="shared" si="18"/>
        <v>2500</v>
      </c>
    </row>
    <row r="51" spans="1:32" ht="19.899999999999999" customHeight="1" x14ac:dyDescent="0.25">
      <c r="A51" s="9">
        <v>7790</v>
      </c>
      <c r="B51" s="9" t="s">
        <v>34</v>
      </c>
      <c r="C51" s="123">
        <f>'Turn '!F50</f>
        <v>500</v>
      </c>
      <c r="D51" s="123">
        <f>'Turn '!H50</f>
        <v>205</v>
      </c>
      <c r="E51" s="123">
        <f>'Turn '!J50</f>
        <v>1000</v>
      </c>
      <c r="F51" s="123">
        <f>Ski!F50</f>
        <v>0</v>
      </c>
      <c r="G51" s="123">
        <f>Ski!H50</f>
        <v>0</v>
      </c>
      <c r="H51" s="123">
        <f>Ski!J50</f>
        <v>0</v>
      </c>
      <c r="I51" s="123">
        <f>Fotball!F50</f>
        <v>-750</v>
      </c>
      <c r="J51" s="123">
        <f>Fotball!H50</f>
        <v>445</v>
      </c>
      <c r="K51" s="123">
        <f>Fotball!J50</f>
        <v>1000</v>
      </c>
      <c r="L51" s="123">
        <f>Sykkel!F50</f>
        <v>0</v>
      </c>
      <c r="M51" s="123">
        <f>Sykkel!H50</f>
        <v>0</v>
      </c>
      <c r="N51" s="123">
        <f>Sykkel!J50</f>
        <v>0</v>
      </c>
      <c r="O51" s="10">
        <f>'G &amp; T'!D50</f>
        <v>0</v>
      </c>
      <c r="P51" s="10">
        <f>'G &amp; T'!F50</f>
        <v>0</v>
      </c>
      <c r="Q51" s="10">
        <f>'G &amp; T'!G50</f>
        <v>0</v>
      </c>
      <c r="R51" s="121">
        <f>TKD!D50</f>
        <v>0</v>
      </c>
      <c r="S51" s="121"/>
      <c r="T51" s="121">
        <f>TKD!E50</f>
        <v>1000</v>
      </c>
      <c r="U51" s="121">
        <f>'G &amp; T'!F50+Hovedlaget!F50+Anlegg!F50+Blilie!F50+Prestmarka!F50</f>
        <v>11249.16</v>
      </c>
      <c r="V51" s="121">
        <f>'G &amp; T'!H50+Hovedlaget!H50+Anlegg!H50+Blilie!H50+Prestmarka!H50</f>
        <v>-2166</v>
      </c>
      <c r="W51" s="121">
        <f>'G &amp; T'!J50+Hovedlaget!J50+Anlegg!J50+Blilie!J50+Prestmarka!J50</f>
        <v>1000</v>
      </c>
      <c r="X51" s="10"/>
      <c r="Y51" s="10"/>
      <c r="Z51" s="10"/>
      <c r="AA51" s="164">
        <f t="shared" si="16"/>
        <v>10999.16</v>
      </c>
      <c r="AB51" s="165">
        <f>'Turn '!E50+Ski!E50+Fotball!E50+Sykkel!E50+'G &amp; T'!E50+Hovedlaget!E50+Anlegg!E50+Blilie!E50+Prestmarka!E50</f>
        <v>14190</v>
      </c>
      <c r="AC51" s="164">
        <f t="shared" si="17"/>
        <v>-1516</v>
      </c>
      <c r="AD51" s="44">
        <f t="shared" si="18"/>
        <v>4000</v>
      </c>
    </row>
    <row r="52" spans="1:32" ht="19.899999999999999" customHeight="1" x14ac:dyDescent="0.25">
      <c r="A52" s="9">
        <v>6010</v>
      </c>
      <c r="B52" s="23" t="s">
        <v>54</v>
      </c>
      <c r="C52" s="123">
        <f>'Turn '!F51</f>
        <v>0</v>
      </c>
      <c r="D52" s="123">
        <f>'Turn '!H51</f>
        <v>0</v>
      </c>
      <c r="E52" s="123">
        <f>'Turn '!J51</f>
        <v>0</v>
      </c>
      <c r="F52" s="123">
        <f>Ski!F51</f>
        <v>0</v>
      </c>
      <c r="G52" s="123">
        <f>Ski!H51</f>
        <v>0</v>
      </c>
      <c r="H52" s="123">
        <f>Ski!J51</f>
        <v>0</v>
      </c>
      <c r="I52" s="123">
        <f>Fotball!F51</f>
        <v>0</v>
      </c>
      <c r="J52" s="123">
        <f>Fotball!H51</f>
        <v>0</v>
      </c>
      <c r="K52" s="123">
        <f>Fotball!J51</f>
        <v>0</v>
      </c>
      <c r="L52" s="123">
        <f>Sykkel!F51</f>
        <v>0</v>
      </c>
      <c r="M52" s="123">
        <f>Sykkel!H51</f>
        <v>0</v>
      </c>
      <c r="N52" s="123">
        <f>Sykkel!J51</f>
        <v>0</v>
      </c>
      <c r="O52" s="10">
        <f>'G &amp; T'!D51</f>
        <v>0</v>
      </c>
      <c r="P52" s="10">
        <f>'G &amp; T'!F51</f>
        <v>0</v>
      </c>
      <c r="Q52" s="10">
        <f>'G &amp; T'!G51</f>
        <v>0</v>
      </c>
      <c r="R52" s="121">
        <f>TKD!D51</f>
        <v>0</v>
      </c>
      <c r="S52" s="121"/>
      <c r="T52" s="121">
        <f>TKD!E51</f>
        <v>0</v>
      </c>
      <c r="U52" s="121">
        <f>'G &amp; T'!F51+Hovedlaget!F51+Anlegg!F51+Blilie!F51+Prestmarka!F51</f>
        <v>74983</v>
      </c>
      <c r="V52" s="121">
        <f>'G &amp; T'!H51+Hovedlaget!H51+Anlegg!H51+Blilie!H51+Prestmarka!H51</f>
        <v>74983</v>
      </c>
      <c r="W52" s="121">
        <f>'G &amp; T'!J51+Hovedlaget!J51+Anlegg!J51+Blilie!J51+Prestmarka!J51</f>
        <v>66000</v>
      </c>
      <c r="X52" s="10"/>
      <c r="Y52" s="10"/>
      <c r="Z52" s="10"/>
      <c r="AA52" s="164">
        <f t="shared" si="16"/>
        <v>74983</v>
      </c>
      <c r="AB52" s="165">
        <f>'Turn '!E51+Ski!E51+Fotball!E51+Sykkel!E51+'G &amp; T'!E51+Hovedlaget!E51+Anlegg!E51+Blilie!E51+Prestmarka!E51</f>
        <v>40684</v>
      </c>
      <c r="AC52" s="164">
        <f t="shared" si="17"/>
        <v>74983</v>
      </c>
      <c r="AD52" s="44">
        <f t="shared" si="18"/>
        <v>66000</v>
      </c>
    </row>
    <row r="53" spans="1:32" ht="19.899999999999999" customHeight="1" x14ac:dyDescent="0.25">
      <c r="A53" s="9"/>
      <c r="B53" s="153" t="s">
        <v>104</v>
      </c>
      <c r="C53" s="38">
        <f>SUM(C21:C52)</f>
        <v>91958</v>
      </c>
      <c r="D53" s="38">
        <f t="shared" ref="D53:AD53" si="19">SUM(D21:D52)</f>
        <v>109723.29000000001</v>
      </c>
      <c r="E53" s="38">
        <f t="shared" si="19"/>
        <v>144400</v>
      </c>
      <c r="F53" s="38">
        <f t="shared" si="19"/>
        <v>38192.199999999997</v>
      </c>
      <c r="G53" s="38">
        <f t="shared" si="19"/>
        <v>51049.45</v>
      </c>
      <c r="H53" s="38">
        <f t="shared" si="19"/>
        <v>51500</v>
      </c>
      <c r="I53" s="38">
        <f t="shared" si="19"/>
        <v>1015696</v>
      </c>
      <c r="J53" s="38">
        <f t="shared" si="19"/>
        <v>455653.87</v>
      </c>
      <c r="K53" s="38">
        <f t="shared" si="19"/>
        <v>313350</v>
      </c>
      <c r="L53" s="38">
        <f t="shared" si="19"/>
        <v>30751</v>
      </c>
      <c r="M53" s="38">
        <f t="shared" si="19"/>
        <v>10375</v>
      </c>
      <c r="N53" s="38">
        <f t="shared" si="19"/>
        <v>5000</v>
      </c>
      <c r="O53" s="38">
        <f t="shared" si="19"/>
        <v>0</v>
      </c>
      <c r="P53" s="38">
        <f t="shared" si="19"/>
        <v>0</v>
      </c>
      <c r="Q53" s="38">
        <f t="shared" si="19"/>
        <v>0</v>
      </c>
      <c r="R53" s="38">
        <f t="shared" si="19"/>
        <v>0</v>
      </c>
      <c r="S53" s="38">
        <f t="shared" si="19"/>
        <v>0</v>
      </c>
      <c r="T53" s="38">
        <f t="shared" si="19"/>
        <v>35720</v>
      </c>
      <c r="U53" s="38">
        <f t="shared" si="19"/>
        <v>1139670.47</v>
      </c>
      <c r="V53" s="38">
        <f t="shared" si="19"/>
        <v>637173.93000000005</v>
      </c>
      <c r="W53" s="38">
        <f t="shared" si="19"/>
        <v>616000</v>
      </c>
      <c r="X53" s="38">
        <f t="shared" si="19"/>
        <v>0</v>
      </c>
      <c r="Y53" s="38">
        <f t="shared" si="19"/>
        <v>0</v>
      </c>
      <c r="Z53" s="38">
        <f t="shared" si="19"/>
        <v>0</v>
      </c>
      <c r="AA53" s="150">
        <f>SUM(AA21:AA52)</f>
        <v>2316267.67</v>
      </c>
      <c r="AB53" s="150">
        <f t="shared" ref="AB53:AC53" si="20">SUM(AB21:AB52)</f>
        <v>1270339.6000000001</v>
      </c>
      <c r="AC53" s="150">
        <f t="shared" si="20"/>
        <v>1263975.54</v>
      </c>
      <c r="AD53" s="150">
        <f t="shared" si="19"/>
        <v>1165970</v>
      </c>
      <c r="AF53" s="213">
        <f>((AD53-AD52)/1.25)*30%</f>
        <v>263992.8</v>
      </c>
    </row>
    <row r="54" spans="1:32" ht="19.899999999999999" customHeight="1" x14ac:dyDescent="0.25">
      <c r="A54" s="9"/>
      <c r="B54" s="9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23"/>
      <c r="S54" s="123"/>
      <c r="T54" s="123"/>
      <c r="U54" s="10"/>
      <c r="V54" s="10"/>
      <c r="W54" s="10"/>
      <c r="X54" s="10"/>
      <c r="Y54" s="10"/>
      <c r="Z54" s="10"/>
      <c r="AA54" s="165"/>
      <c r="AB54" s="165"/>
      <c r="AC54" s="165"/>
      <c r="AD54" s="8">
        <f>SUM(C54:Q54)</f>
        <v>0</v>
      </c>
    </row>
    <row r="55" spans="1:32" ht="19.899999999999999" customHeight="1" x14ac:dyDescent="0.25">
      <c r="A55" s="9"/>
      <c r="B55" s="153" t="s">
        <v>105</v>
      </c>
      <c r="C55" s="38">
        <f>C19-C53</f>
        <v>18066</v>
      </c>
      <c r="D55" s="38">
        <f t="shared" ref="D55:AD55" si="21">D19-D53</f>
        <v>-2654.2900000000081</v>
      </c>
      <c r="E55" s="38">
        <f t="shared" si="21"/>
        <v>100</v>
      </c>
      <c r="F55" s="38">
        <f t="shared" si="21"/>
        <v>1009.8000000000029</v>
      </c>
      <c r="G55" s="38">
        <f t="shared" si="21"/>
        <v>20515.550000000003</v>
      </c>
      <c r="H55" s="38">
        <f t="shared" si="21"/>
        <v>0</v>
      </c>
      <c r="I55" s="38">
        <f t="shared" si="21"/>
        <v>24696</v>
      </c>
      <c r="J55" s="38">
        <f t="shared" si="21"/>
        <v>41944.130000000005</v>
      </c>
      <c r="K55" s="38">
        <f t="shared" si="21"/>
        <v>25900</v>
      </c>
      <c r="L55" s="38">
        <f t="shared" si="21"/>
        <v>20412</v>
      </c>
      <c r="M55" s="38">
        <f t="shared" si="21"/>
        <v>-10375</v>
      </c>
      <c r="N55" s="38">
        <f t="shared" si="21"/>
        <v>-5000</v>
      </c>
      <c r="O55" s="38">
        <f t="shared" si="21"/>
        <v>0</v>
      </c>
      <c r="P55" s="38">
        <f t="shared" si="21"/>
        <v>0</v>
      </c>
      <c r="Q55" s="38">
        <f t="shared" si="21"/>
        <v>0</v>
      </c>
      <c r="R55" s="38">
        <f t="shared" si="21"/>
        <v>12000</v>
      </c>
      <c r="S55" s="38">
        <f t="shared" si="21"/>
        <v>0</v>
      </c>
      <c r="T55" s="38">
        <f t="shared" si="21"/>
        <v>1080</v>
      </c>
      <c r="U55" s="38">
        <f t="shared" si="21"/>
        <v>-312263.84999999998</v>
      </c>
      <c r="V55" s="38">
        <f t="shared" si="21"/>
        <v>93290.499999999884</v>
      </c>
      <c r="W55" s="38">
        <f t="shared" si="21"/>
        <v>5500</v>
      </c>
      <c r="X55" s="38" t="e">
        <f t="shared" si="21"/>
        <v>#REF!</v>
      </c>
      <c r="Y55" s="38" t="e">
        <f t="shared" si="21"/>
        <v>#REF!</v>
      </c>
      <c r="Z55" s="38">
        <f t="shared" si="21"/>
        <v>31000</v>
      </c>
      <c r="AA55" s="150">
        <f>AA19-AA53</f>
        <v>-248080.05000000005</v>
      </c>
      <c r="AB55" s="150">
        <f t="shared" si="21"/>
        <v>371939.39999999991</v>
      </c>
      <c r="AC55" s="150">
        <f t="shared" si="21"/>
        <v>154720.8899999999</v>
      </c>
      <c r="AD55" s="150">
        <f t="shared" si="21"/>
        <v>27580</v>
      </c>
    </row>
    <row r="56" spans="1:32" ht="19.899999999999999" customHeight="1" x14ac:dyDescent="0.25">
      <c r="A56" s="23"/>
      <c r="B56" s="23"/>
      <c r="C56" s="23"/>
      <c r="D56" s="23"/>
      <c r="E56" s="23"/>
      <c r="F56" s="23"/>
      <c r="G56" s="23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22"/>
      <c r="S56" s="122"/>
      <c r="T56" s="122"/>
      <c r="U56" s="11"/>
      <c r="V56" s="11"/>
      <c r="W56" s="11"/>
      <c r="X56" s="11"/>
      <c r="Y56" s="11"/>
      <c r="Z56" s="11"/>
      <c r="AA56" s="166"/>
      <c r="AB56" s="166"/>
      <c r="AC56" s="166"/>
      <c r="AD56" s="56"/>
    </row>
    <row r="57" spans="1:32" ht="19.899999999999999" customHeight="1" x14ac:dyDescent="0.25">
      <c r="A57" s="23"/>
      <c r="B57" s="24" t="s">
        <v>49</v>
      </c>
      <c r="C57" s="25"/>
      <c r="D57" s="25"/>
      <c r="E57" s="25"/>
      <c r="F57" s="25"/>
      <c r="G57" s="25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22"/>
      <c r="S57" s="122"/>
      <c r="T57" s="122"/>
      <c r="U57" s="11"/>
      <c r="V57" s="11"/>
      <c r="W57" s="11"/>
      <c r="X57" s="11"/>
      <c r="Y57" s="11"/>
      <c r="Z57" s="11"/>
      <c r="AA57" s="165"/>
      <c r="AB57" s="166"/>
      <c r="AC57" s="166"/>
      <c r="AD57" s="56"/>
    </row>
    <row r="58" spans="1:32" ht="19.899999999999999" customHeight="1" x14ac:dyDescent="0.25">
      <c r="A58" s="23"/>
      <c r="B58" s="23" t="s">
        <v>50</v>
      </c>
      <c r="C58" s="25">
        <f>'Turn '!E57</f>
        <v>30.4</v>
      </c>
      <c r="D58" s="25"/>
      <c r="E58" s="25">
        <f>'Turn '!I57</f>
        <v>0</v>
      </c>
      <c r="F58" s="25">
        <f>Ski!E57</f>
        <v>125.45</v>
      </c>
      <c r="G58" s="25">
        <f>Ski!H57</f>
        <v>0</v>
      </c>
      <c r="H58" s="25">
        <f>Ski!G57</f>
        <v>0</v>
      </c>
      <c r="I58" s="14">
        <f>Fotball!F57</f>
        <v>71</v>
      </c>
      <c r="J58" s="14">
        <f>Fotball!H57</f>
        <v>0</v>
      </c>
      <c r="K58" s="14">
        <f>Fotball!J57</f>
        <v>0</v>
      </c>
      <c r="L58" s="14">
        <f>Sykkel!F57</f>
        <v>142</v>
      </c>
      <c r="M58" s="14">
        <f>Sykkel!H57</f>
        <v>0</v>
      </c>
      <c r="N58" s="14">
        <f>Sykkel!G57</f>
        <v>0</v>
      </c>
      <c r="O58" s="14">
        <f>'G &amp; T'!D57</f>
        <v>0</v>
      </c>
      <c r="P58" s="14">
        <f>'G &amp; T'!F57</f>
        <v>0</v>
      </c>
      <c r="Q58" s="14">
        <f>'G &amp; T'!G57</f>
        <v>0</v>
      </c>
      <c r="R58" s="124"/>
      <c r="S58" s="124">
        <f>'G &amp; T'!H57</f>
        <v>0</v>
      </c>
      <c r="T58" s="124">
        <f>'G &amp; T'!I57</f>
        <v>0</v>
      </c>
      <c r="U58" s="14">
        <f>'G &amp; T'!F57+Hovedlaget!F57+Anlegg!F57+Blilie!F57+Prestmarka!F57</f>
        <v>25461.61</v>
      </c>
      <c r="V58" s="121">
        <f>'G &amp; T'!H57+Hovedlaget!H57+Anlegg!H57+Blilie!H57+Prestmarka!H57</f>
        <v>14141.19</v>
      </c>
      <c r="W58" s="121">
        <f>'G &amp; T'!I57+Hovedlaget!J57+Anlegg!I57+Blilie!I57+Prestmarka!I57</f>
        <v>15000</v>
      </c>
      <c r="X58" s="14">
        <f>Anlegg!D57+Blilie!D57+Prestmarka!D57</f>
        <v>0</v>
      </c>
      <c r="Y58" s="14">
        <f>Anlegg!F57+Blilie!F57+Prestmarka!F57</f>
        <v>0</v>
      </c>
      <c r="Z58" s="14">
        <f>Anlegg!G57+Blilie!G57+Prestmarka!G57</f>
        <v>0</v>
      </c>
      <c r="AA58" s="164">
        <f>C58+F58+I58+L58+U58</f>
        <v>25830.46</v>
      </c>
      <c r="AB58" s="165">
        <f>'Turn '!E57+Ski!E57+Fotball!E57+Sykkel!E57+'G &amp; T'!E57+Hovedlaget!E57+Anlegg!E57+Blilie!E57+Prestmarka!E57</f>
        <v>40485.35</v>
      </c>
      <c r="AC58" s="164">
        <f>'Regnskap-Budsjett 2017'!D58+'Regnskap-Budsjett 2017'!G58+'Regnskap-Budsjett 2017'!J58+'Regnskap-Budsjett 2017'!M58+'Regnskap-Budsjett 2017'!P58+V58+Y58</f>
        <v>14141.19</v>
      </c>
      <c r="AD58" s="44">
        <f>E58+H58+K58+N58+Q58++T58+W58+Z58</f>
        <v>15000</v>
      </c>
    </row>
    <row r="59" spans="1:32" ht="19.899999999999999" hidden="1" customHeight="1" x14ac:dyDescent="0.25">
      <c r="A59" s="23"/>
      <c r="B59" s="23" t="s">
        <v>52</v>
      </c>
      <c r="C59" s="25">
        <f>'Turn '!D58</f>
        <v>0</v>
      </c>
      <c r="D59" s="25">
        <f>'Turn '!F58</f>
        <v>0</v>
      </c>
      <c r="E59" s="25">
        <f>'Turn '!G58</f>
        <v>0</v>
      </c>
      <c r="F59" s="25">
        <f>Ski!D58</f>
        <v>0</v>
      </c>
      <c r="G59" s="25">
        <f>Ski!F58</f>
        <v>0</v>
      </c>
      <c r="H59" s="25">
        <f>Ski!G58</f>
        <v>0</v>
      </c>
      <c r="I59" s="14">
        <f>Fotball!D58</f>
        <v>0</v>
      </c>
      <c r="J59" s="14">
        <f>Fotball!F58</f>
        <v>0</v>
      </c>
      <c r="K59" s="14">
        <f>Fotball!G58</f>
        <v>0</v>
      </c>
      <c r="L59" s="14">
        <f>Sykkel!D58</f>
        <v>0</v>
      </c>
      <c r="M59" s="14">
        <f>Sykkel!F58</f>
        <v>0</v>
      </c>
      <c r="N59" s="14">
        <f>Sykkel!G58</f>
        <v>0</v>
      </c>
      <c r="O59" s="14">
        <f>'G &amp; T'!D58</f>
        <v>0</v>
      </c>
      <c r="P59" s="14">
        <f>'G &amp; T'!F58</f>
        <v>0</v>
      </c>
      <c r="Q59" s="14">
        <f>'G &amp; T'!G58</f>
        <v>0</v>
      </c>
      <c r="R59" s="124"/>
      <c r="S59" s="124"/>
      <c r="T59" s="124"/>
      <c r="U59" s="14">
        <f>Hovedlaget!D58</f>
        <v>0</v>
      </c>
      <c r="V59" s="14">
        <f>Hovedlaget!F58</f>
        <v>0</v>
      </c>
      <c r="W59" s="14">
        <f>Hovedlaget!G58</f>
        <v>0</v>
      </c>
      <c r="X59" s="14">
        <f>Anlegg!D58+Blilie!D58+Prestmarka!D58</f>
        <v>0</v>
      </c>
      <c r="Y59" s="14">
        <f>Anlegg!F58+Blilie!F58+Prestmarka!F58</f>
        <v>0</v>
      </c>
      <c r="Z59" s="14">
        <f>Anlegg!G58+Blilie!G58+Prestmarka!G58</f>
        <v>0</v>
      </c>
      <c r="AA59" s="164">
        <f t="shared" ref="AA59" si="22">C59+F59+I59+L59+O59+U59+X59</f>
        <v>0</v>
      </c>
      <c r="AB59" s="165">
        <f>'Turn '!E58+Ski!E58+Fotball!E58+Sykkel!E58+'G &amp; T'!E58+Hovedlaget!E58+Anlegg!E58+Blilie!E58+Prestmarka!E58</f>
        <v>0</v>
      </c>
      <c r="AC59" s="164">
        <f>'Regnskap-Budsjett 2017'!D59+'Regnskap-Budsjett 2017'!G59+'Regnskap-Budsjett 2017'!J59+'Regnskap-Budsjett 2017'!M59+'Regnskap-Budsjett 2017'!P59+V59+Y59</f>
        <v>0</v>
      </c>
      <c r="AD59" s="44">
        <f t="shared" ref="AD59" si="23">E59+H59+K59+N59+Q59+W59+Z59</f>
        <v>0</v>
      </c>
    </row>
    <row r="60" spans="1:32" ht="19.899999999999999" customHeight="1" x14ac:dyDescent="0.25">
      <c r="A60" s="23"/>
      <c r="B60" s="156" t="s">
        <v>53</v>
      </c>
      <c r="C60" s="157">
        <f>SUM(C58:C59)</f>
        <v>30.4</v>
      </c>
      <c r="D60" s="157">
        <f t="shared" ref="D60:AD60" si="24">SUM(D58:D59)</f>
        <v>0</v>
      </c>
      <c r="E60" s="157">
        <f t="shared" si="24"/>
        <v>0</v>
      </c>
      <c r="F60" s="157">
        <f t="shared" si="24"/>
        <v>125.45</v>
      </c>
      <c r="G60" s="157">
        <f t="shared" si="24"/>
        <v>0</v>
      </c>
      <c r="H60" s="157">
        <f t="shared" si="24"/>
        <v>0</v>
      </c>
      <c r="I60" s="157">
        <f t="shared" si="24"/>
        <v>71</v>
      </c>
      <c r="J60" s="157">
        <f t="shared" si="24"/>
        <v>0</v>
      </c>
      <c r="K60" s="157">
        <f t="shared" si="24"/>
        <v>0</v>
      </c>
      <c r="L60" s="157">
        <f>SUM(L58:L59)</f>
        <v>142</v>
      </c>
      <c r="M60" s="157">
        <f t="shared" si="24"/>
        <v>0</v>
      </c>
      <c r="N60" s="157">
        <f t="shared" si="24"/>
        <v>0</v>
      </c>
      <c r="O60" s="157">
        <f t="shared" si="24"/>
        <v>0</v>
      </c>
      <c r="P60" s="157">
        <f t="shared" si="24"/>
        <v>0</v>
      </c>
      <c r="Q60" s="157">
        <f t="shared" si="24"/>
        <v>0</v>
      </c>
      <c r="R60" s="157">
        <f t="shared" si="24"/>
        <v>0</v>
      </c>
      <c r="S60" s="157">
        <f t="shared" si="24"/>
        <v>0</v>
      </c>
      <c r="T60" s="157">
        <f t="shared" si="24"/>
        <v>0</v>
      </c>
      <c r="U60" s="157">
        <f t="shared" si="24"/>
        <v>25461.61</v>
      </c>
      <c r="V60" s="157">
        <f t="shared" si="24"/>
        <v>14141.19</v>
      </c>
      <c r="W60" s="157">
        <f t="shared" si="24"/>
        <v>15000</v>
      </c>
      <c r="X60" s="157">
        <f t="shared" si="24"/>
        <v>0</v>
      </c>
      <c r="Y60" s="157">
        <f t="shared" si="24"/>
        <v>0</v>
      </c>
      <c r="Z60" s="157">
        <f t="shared" si="24"/>
        <v>0</v>
      </c>
      <c r="AA60" s="163">
        <f t="shared" si="24"/>
        <v>25830.46</v>
      </c>
      <c r="AB60" s="163">
        <f t="shared" si="24"/>
        <v>40485.35</v>
      </c>
      <c r="AC60" s="163">
        <f t="shared" si="24"/>
        <v>14141.19</v>
      </c>
      <c r="AD60" s="163">
        <f t="shared" si="24"/>
        <v>15000</v>
      </c>
    </row>
    <row r="61" spans="1:32" ht="19.899999999999999" customHeight="1" x14ac:dyDescent="0.25">
      <c r="A61" s="23"/>
      <c r="B61" s="46"/>
      <c r="C61" s="48"/>
      <c r="D61" s="47"/>
      <c r="E61" s="25"/>
      <c r="F61" s="25"/>
      <c r="G61" s="25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22"/>
      <c r="S61" s="122"/>
      <c r="T61" s="122"/>
      <c r="U61" s="11"/>
      <c r="V61" s="11"/>
      <c r="W61" s="11"/>
      <c r="X61" s="11"/>
      <c r="Y61" s="11"/>
      <c r="Z61" s="11"/>
      <c r="AA61" s="165"/>
      <c r="AB61" s="165"/>
      <c r="AC61" s="165"/>
      <c r="AD61" s="57"/>
    </row>
    <row r="62" spans="1:32" ht="19.899999999999999" customHeight="1" x14ac:dyDescent="0.25">
      <c r="A62" s="23"/>
      <c r="B62" s="158" t="s">
        <v>37</v>
      </c>
      <c r="C62" s="159">
        <f>C55+C60</f>
        <v>18096.400000000001</v>
      </c>
      <c r="D62" s="159">
        <f t="shared" ref="D62:AD62" si="25">D55+D60</f>
        <v>-2654.2900000000081</v>
      </c>
      <c r="E62" s="159">
        <f t="shared" si="25"/>
        <v>100</v>
      </c>
      <c r="F62" s="159">
        <f t="shared" si="25"/>
        <v>1135.250000000003</v>
      </c>
      <c r="G62" s="159">
        <f t="shared" si="25"/>
        <v>20515.550000000003</v>
      </c>
      <c r="H62" s="159">
        <f t="shared" si="25"/>
        <v>0</v>
      </c>
      <c r="I62" s="159">
        <f t="shared" si="25"/>
        <v>24767</v>
      </c>
      <c r="J62" s="159">
        <f t="shared" si="25"/>
        <v>41944.130000000005</v>
      </c>
      <c r="K62" s="159">
        <f t="shared" si="25"/>
        <v>25900</v>
      </c>
      <c r="L62" s="159">
        <f t="shared" si="25"/>
        <v>20554</v>
      </c>
      <c r="M62" s="159">
        <f t="shared" si="25"/>
        <v>-10375</v>
      </c>
      <c r="N62" s="159">
        <f t="shared" si="25"/>
        <v>-5000</v>
      </c>
      <c r="O62" s="159">
        <f t="shared" si="25"/>
        <v>0</v>
      </c>
      <c r="P62" s="159">
        <f t="shared" si="25"/>
        <v>0</v>
      </c>
      <c r="Q62" s="159">
        <f t="shared" si="25"/>
        <v>0</v>
      </c>
      <c r="R62" s="159">
        <f t="shared" si="25"/>
        <v>12000</v>
      </c>
      <c r="S62" s="159">
        <f t="shared" si="25"/>
        <v>0</v>
      </c>
      <c r="T62" s="159">
        <f t="shared" si="25"/>
        <v>1080</v>
      </c>
      <c r="U62" s="160">
        <f t="shared" si="25"/>
        <v>-286802.24</v>
      </c>
      <c r="V62" s="159">
        <f t="shared" si="25"/>
        <v>107431.68999999989</v>
      </c>
      <c r="W62" s="159">
        <f t="shared" si="25"/>
        <v>20500</v>
      </c>
      <c r="X62" s="159" t="e">
        <f t="shared" si="25"/>
        <v>#REF!</v>
      </c>
      <c r="Y62" s="159" t="e">
        <f t="shared" si="25"/>
        <v>#REF!</v>
      </c>
      <c r="Z62" s="159">
        <f t="shared" si="25"/>
        <v>31000</v>
      </c>
      <c r="AA62" s="161">
        <f t="shared" si="25"/>
        <v>-222249.59000000005</v>
      </c>
      <c r="AB62" s="161">
        <f t="shared" si="25"/>
        <v>412424.74999999988</v>
      </c>
      <c r="AC62" s="161">
        <f t="shared" si="25"/>
        <v>168862.0799999999</v>
      </c>
      <c r="AD62" s="161">
        <f t="shared" si="25"/>
        <v>42580</v>
      </c>
    </row>
    <row r="64" spans="1:32" ht="7.15" customHeight="1" x14ac:dyDescent="0.25"/>
    <row r="65" spans="1:29" x14ac:dyDescent="0.25">
      <c r="B65" s="60" t="s">
        <v>106</v>
      </c>
      <c r="J65" s="4"/>
      <c r="N65" t="s">
        <v>130</v>
      </c>
      <c r="V65" s="4"/>
    </row>
    <row r="66" spans="1:29" x14ac:dyDescent="0.25">
      <c r="A66" t="s">
        <v>130</v>
      </c>
      <c r="B66" t="s">
        <v>130</v>
      </c>
      <c r="AC66">
        <f>AC63-AC65</f>
        <v>0</v>
      </c>
    </row>
    <row r="67" spans="1:29" s="144" customFormat="1" x14ac:dyDescent="0.25">
      <c r="B67" s="190" t="s">
        <v>130</v>
      </c>
    </row>
    <row r="68" spans="1:29" x14ac:dyDescent="0.25">
      <c r="B68" s="144" t="s">
        <v>130</v>
      </c>
      <c r="C68" s="144"/>
      <c r="D68" s="144"/>
      <c r="E68" s="144"/>
    </row>
    <row r="69" spans="1:29" x14ac:dyDescent="0.25">
      <c r="B69" t="s">
        <v>130</v>
      </c>
    </row>
  </sheetData>
  <pageMargins left="0.70866141732283472" right="0" top="0.74803149606299213" bottom="0.74803149606299213" header="0.31496062992125984" footer="0.31496062992125984"/>
  <pageSetup paperSize="9" scale="65" fitToHeight="0" orientation="landscape" r:id="rId1"/>
  <headerFooter>
    <oddFooter>&amp;CSide 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workbookViewId="0">
      <selection activeCell="B11" sqref="B11"/>
    </sheetView>
  </sheetViews>
  <sheetFormatPr baseColWidth="10" defaultRowHeight="15" x14ac:dyDescent="0.25"/>
  <cols>
    <col min="1" max="1" width="4.140625" customWidth="1"/>
    <col min="4" max="4" width="20.28515625" customWidth="1"/>
    <col min="5" max="5" width="8.42578125" customWidth="1"/>
    <col min="6" max="6" width="5.5703125" customWidth="1"/>
    <col min="7" max="7" width="14.7109375" customWidth="1"/>
    <col min="8" max="8" width="16.7109375" customWidth="1"/>
    <col min="9" max="9" width="44.7109375" customWidth="1"/>
  </cols>
  <sheetData>
    <row r="2" spans="2:11" ht="18.75" x14ac:dyDescent="0.3">
      <c r="B2" s="59" t="s">
        <v>110</v>
      </c>
      <c r="C2" s="144"/>
      <c r="D2" s="144"/>
      <c r="E2" s="144"/>
      <c r="F2" s="144"/>
      <c r="G2" s="144"/>
      <c r="H2" s="144"/>
      <c r="I2" s="144"/>
    </row>
    <row r="3" spans="2:11" x14ac:dyDescent="0.25">
      <c r="B3" s="113" t="s">
        <v>83</v>
      </c>
      <c r="C3" s="144"/>
      <c r="D3" s="144"/>
      <c r="E3" s="144"/>
      <c r="F3" s="144"/>
      <c r="G3" s="144"/>
      <c r="H3" s="144"/>
      <c r="I3" s="144"/>
    </row>
    <row r="4" spans="2:11" x14ac:dyDescent="0.25">
      <c r="B4" s="144"/>
      <c r="C4" s="144"/>
      <c r="D4" s="144"/>
      <c r="E4" s="144"/>
      <c r="F4" s="144"/>
      <c r="G4" s="144"/>
      <c r="H4" s="144"/>
      <c r="I4" s="144"/>
    </row>
    <row r="5" spans="2:11" ht="16.5" thickBot="1" x14ac:dyDescent="0.3">
      <c r="B5" s="63" t="s">
        <v>78</v>
      </c>
      <c r="C5" s="144"/>
      <c r="D5" s="144"/>
      <c r="E5" s="144"/>
      <c r="F5" s="144"/>
      <c r="G5" s="144"/>
      <c r="H5" s="144"/>
      <c r="I5" s="144"/>
    </row>
    <row r="6" spans="2:11" ht="15.75" thickBot="1" x14ac:dyDescent="0.3">
      <c r="B6" s="77" t="s">
        <v>65</v>
      </c>
      <c r="C6" s="64"/>
      <c r="D6" s="64"/>
      <c r="E6" s="114" t="s">
        <v>66</v>
      </c>
      <c r="F6" s="112" t="s">
        <v>77</v>
      </c>
      <c r="G6" s="78" t="s">
        <v>68</v>
      </c>
      <c r="H6" s="82" t="s">
        <v>76</v>
      </c>
      <c r="I6" s="81"/>
      <c r="J6" s="61"/>
      <c r="K6" s="60"/>
    </row>
    <row r="7" spans="2:11" ht="18.600000000000001" customHeight="1" x14ac:dyDescent="0.25">
      <c r="B7" s="76" t="s">
        <v>73</v>
      </c>
      <c r="C7" s="73"/>
      <c r="D7" s="84"/>
      <c r="E7" s="74"/>
      <c r="F7" s="75"/>
      <c r="G7" s="74"/>
      <c r="H7" s="85"/>
      <c r="I7" s="86"/>
      <c r="J7" s="61"/>
      <c r="K7" s="60"/>
    </row>
    <row r="8" spans="2:11" ht="16.899999999999999" customHeight="1" x14ac:dyDescent="0.25">
      <c r="B8" s="67" t="s">
        <v>96</v>
      </c>
      <c r="C8" s="144"/>
      <c r="D8" s="144"/>
      <c r="E8" s="65">
        <v>2004</v>
      </c>
      <c r="F8" s="144">
        <v>2</v>
      </c>
      <c r="G8" s="69">
        <v>53000</v>
      </c>
      <c r="H8" s="79" t="s">
        <v>99</v>
      </c>
      <c r="I8" s="87"/>
      <c r="J8" s="4"/>
    </row>
    <row r="9" spans="2:11" ht="16.899999999999999" customHeight="1" x14ac:dyDescent="0.25">
      <c r="B9" s="67" t="s">
        <v>67</v>
      </c>
      <c r="C9" s="144"/>
      <c r="D9" s="144"/>
      <c r="E9" s="65">
        <v>2012</v>
      </c>
      <c r="F9" s="144">
        <v>3</v>
      </c>
      <c r="G9" s="69">
        <v>120000</v>
      </c>
      <c r="H9" s="79" t="s">
        <v>101</v>
      </c>
      <c r="I9" s="87"/>
      <c r="J9" s="4"/>
    </row>
    <row r="10" spans="2:11" s="144" customFormat="1" ht="16.899999999999999" customHeight="1" x14ac:dyDescent="0.25">
      <c r="B10" s="67" t="s">
        <v>170</v>
      </c>
      <c r="E10" s="65">
        <v>2015</v>
      </c>
      <c r="G10" s="69"/>
      <c r="H10" s="79"/>
      <c r="I10" s="87"/>
      <c r="J10" s="4"/>
    </row>
    <row r="11" spans="2:11" ht="16.899999999999999" customHeight="1" x14ac:dyDescent="0.25">
      <c r="B11" s="76" t="s">
        <v>74</v>
      </c>
      <c r="C11" s="144"/>
      <c r="D11" s="144"/>
      <c r="E11" s="65"/>
      <c r="F11" s="144"/>
      <c r="G11" s="69"/>
      <c r="H11" s="79"/>
      <c r="I11" s="87"/>
      <c r="J11" s="4"/>
    </row>
    <row r="12" spans="2:11" x14ac:dyDescent="0.25">
      <c r="B12" s="67" t="s">
        <v>70</v>
      </c>
      <c r="C12" s="144"/>
      <c r="D12" s="144"/>
      <c r="E12" s="65">
        <v>1985</v>
      </c>
      <c r="F12" s="144">
        <v>4</v>
      </c>
      <c r="G12" s="69">
        <v>50000</v>
      </c>
      <c r="H12" s="79" t="s">
        <v>120</v>
      </c>
      <c r="I12" s="87"/>
      <c r="J12" s="4"/>
    </row>
    <row r="13" spans="2:11" x14ac:dyDescent="0.25">
      <c r="B13" s="68" t="s">
        <v>71</v>
      </c>
      <c r="C13" s="144"/>
      <c r="D13" s="144"/>
      <c r="E13" s="65">
        <v>1991</v>
      </c>
      <c r="F13" s="144">
        <v>5</v>
      </c>
      <c r="G13" s="69">
        <v>40000</v>
      </c>
      <c r="H13" s="79" t="s">
        <v>115</v>
      </c>
      <c r="I13" s="87"/>
      <c r="J13" s="4"/>
    </row>
    <row r="14" spans="2:11" x14ac:dyDescent="0.25">
      <c r="B14" s="67" t="s">
        <v>69</v>
      </c>
      <c r="C14" s="144"/>
      <c r="D14" s="144"/>
      <c r="E14" s="65">
        <v>1997</v>
      </c>
      <c r="F14" s="144">
        <v>6</v>
      </c>
      <c r="G14" s="69">
        <v>410000</v>
      </c>
      <c r="H14" s="79" t="s">
        <v>97</v>
      </c>
      <c r="I14" s="87"/>
      <c r="J14" s="4"/>
    </row>
    <row r="15" spans="2:11" x14ac:dyDescent="0.25">
      <c r="B15" s="71" t="s">
        <v>72</v>
      </c>
      <c r="C15" s="72"/>
      <c r="D15" s="72"/>
      <c r="E15" s="66">
        <v>1998</v>
      </c>
      <c r="F15" s="72">
        <v>7</v>
      </c>
      <c r="G15" s="70">
        <v>65000</v>
      </c>
      <c r="H15" s="88" t="s">
        <v>98</v>
      </c>
      <c r="I15" s="89"/>
      <c r="J15" s="4"/>
    </row>
    <row r="16" spans="2:11" x14ac:dyDescent="0.25">
      <c r="B16" s="144"/>
      <c r="C16" s="144"/>
      <c r="D16" s="144"/>
      <c r="E16" s="144"/>
      <c r="F16" s="144"/>
      <c r="G16" s="144"/>
      <c r="H16" s="144"/>
      <c r="I16" s="144"/>
    </row>
    <row r="17" spans="2:9" ht="4.9000000000000004" customHeight="1" x14ac:dyDescent="0.25">
      <c r="B17" s="144"/>
      <c r="C17" s="144"/>
      <c r="D17" s="144"/>
      <c r="E17" s="144"/>
      <c r="F17" s="144"/>
      <c r="G17" s="144"/>
      <c r="H17" s="144"/>
      <c r="I17" s="144"/>
    </row>
    <row r="18" spans="2:9" ht="16.5" thickBot="1" x14ac:dyDescent="0.3">
      <c r="B18" s="63" t="s">
        <v>79</v>
      </c>
      <c r="C18" s="144"/>
      <c r="D18" s="144"/>
      <c r="E18" s="144"/>
      <c r="F18" s="144"/>
      <c r="G18" s="144"/>
      <c r="H18" s="144"/>
      <c r="I18" s="144"/>
    </row>
    <row r="19" spans="2:9" x14ac:dyDescent="0.25">
      <c r="B19" s="83" t="s">
        <v>75</v>
      </c>
      <c r="C19" s="90"/>
      <c r="D19" s="90"/>
      <c r="E19" s="90"/>
      <c r="F19" s="106" t="s">
        <v>77</v>
      </c>
      <c r="G19" s="107" t="s">
        <v>80</v>
      </c>
      <c r="H19" s="80"/>
      <c r="I19" s="144"/>
    </row>
    <row r="20" spans="2:9" ht="7.15" customHeight="1" x14ac:dyDescent="0.25">
      <c r="B20" s="91"/>
      <c r="C20" s="92"/>
      <c r="D20" s="92"/>
      <c r="E20" s="92"/>
      <c r="F20" s="96"/>
      <c r="G20" s="96"/>
      <c r="H20" s="144"/>
      <c r="I20" s="144"/>
    </row>
    <row r="21" spans="2:9" x14ac:dyDescent="0.25">
      <c r="B21" s="67" t="s">
        <v>119</v>
      </c>
      <c r="C21" s="93"/>
      <c r="D21" s="93"/>
      <c r="E21" s="93"/>
      <c r="F21" s="65"/>
      <c r="G21" s="69">
        <v>217000</v>
      </c>
      <c r="H21" s="144"/>
      <c r="I21" s="144"/>
    </row>
    <row r="22" spans="2:9" s="144" customFormat="1" x14ac:dyDescent="0.25">
      <c r="B22" s="67" t="s">
        <v>118</v>
      </c>
      <c r="C22" s="93"/>
      <c r="D22" s="93"/>
      <c r="E22" s="93"/>
      <c r="F22" s="65"/>
      <c r="G22" s="69">
        <v>71000</v>
      </c>
    </row>
    <row r="23" spans="2:9" x14ac:dyDescent="0.25">
      <c r="B23" s="98"/>
      <c r="C23" s="72"/>
      <c r="D23" s="72"/>
      <c r="E23" s="72"/>
      <c r="F23" s="66"/>
      <c r="G23" s="70"/>
      <c r="H23" s="144"/>
      <c r="I23" s="144"/>
    </row>
    <row r="24" spans="2:9" x14ac:dyDescent="0.25">
      <c r="B24" s="94" t="s">
        <v>81</v>
      </c>
      <c r="C24" s="95"/>
      <c r="D24" s="95"/>
      <c r="E24" s="95"/>
      <c r="F24" s="97"/>
      <c r="G24" s="104">
        <f>SUM(G21:G23)</f>
        <v>288000</v>
      </c>
      <c r="H24" s="144"/>
      <c r="I24" s="144"/>
    </row>
    <row r="25" spans="2:9" x14ac:dyDescent="0.25">
      <c r="B25" s="99" t="s">
        <v>117</v>
      </c>
      <c r="C25" s="95"/>
      <c r="D25" s="95"/>
      <c r="E25" s="95"/>
      <c r="F25" s="108"/>
      <c r="G25" s="109">
        <v>57000</v>
      </c>
      <c r="H25" s="144"/>
      <c r="I25" s="144"/>
    </row>
    <row r="26" spans="2:9" x14ac:dyDescent="0.25">
      <c r="B26" s="99" t="s">
        <v>86</v>
      </c>
      <c r="C26" s="100"/>
      <c r="D26" s="100"/>
      <c r="E26" s="100"/>
      <c r="F26" s="110"/>
      <c r="G26" s="111">
        <v>0</v>
      </c>
      <c r="H26" s="144"/>
      <c r="I26" s="144"/>
    </row>
    <row r="27" spans="2:9" x14ac:dyDescent="0.25">
      <c r="B27" s="101" t="s">
        <v>82</v>
      </c>
      <c r="C27" s="102"/>
      <c r="D27" s="102"/>
      <c r="E27" s="102"/>
      <c r="F27" s="103"/>
      <c r="G27" s="105">
        <f>G24-G25-G26</f>
        <v>231000</v>
      </c>
      <c r="H27" s="144"/>
      <c r="I27" s="144"/>
    </row>
    <row r="28" spans="2:9" x14ac:dyDescent="0.25">
      <c r="B28" s="144"/>
      <c r="C28" s="144"/>
      <c r="D28" s="144"/>
      <c r="E28" s="144"/>
      <c r="F28" s="144"/>
      <c r="G28" s="144"/>
      <c r="H28" s="144"/>
      <c r="I28" s="144"/>
    </row>
    <row r="29" spans="2:9" ht="26.45" customHeight="1" thickBot="1" x14ac:dyDescent="0.35">
      <c r="B29" s="59" t="s">
        <v>85</v>
      </c>
      <c r="C29" s="144"/>
      <c r="D29" s="144"/>
      <c r="E29" s="144"/>
      <c r="F29" s="144"/>
      <c r="G29" s="144"/>
      <c r="H29" s="144"/>
      <c r="I29" s="144"/>
    </row>
    <row r="30" spans="2:9" x14ac:dyDescent="0.25">
      <c r="B30" s="83" t="s">
        <v>75</v>
      </c>
      <c r="C30" s="90"/>
      <c r="D30" s="90"/>
      <c r="E30" s="90"/>
      <c r="F30" s="106" t="s">
        <v>77</v>
      </c>
      <c r="G30" s="107" t="s">
        <v>80</v>
      </c>
      <c r="H30" s="144"/>
      <c r="I30" s="144"/>
    </row>
    <row r="31" spans="2:9" ht="13.15" customHeight="1" x14ac:dyDescent="0.25">
      <c r="B31" s="91"/>
      <c r="C31" s="92"/>
      <c r="D31" s="92"/>
      <c r="E31" s="92"/>
      <c r="F31" s="96"/>
      <c r="G31" s="151"/>
      <c r="H31" s="144"/>
      <c r="I31" s="144"/>
    </row>
    <row r="32" spans="2:9" ht="13.15" customHeight="1" x14ac:dyDescent="0.25">
      <c r="B32" s="67" t="s">
        <v>116</v>
      </c>
      <c r="C32" s="93"/>
      <c r="D32" s="93"/>
      <c r="E32" s="93"/>
      <c r="F32" s="65"/>
      <c r="G32" s="69">
        <v>250000</v>
      </c>
      <c r="H32" s="144"/>
      <c r="I32" s="144"/>
    </row>
    <row r="33" spans="2:9" ht="13.15" customHeight="1" x14ac:dyDescent="0.25">
      <c r="B33" s="67" t="s">
        <v>121</v>
      </c>
      <c r="C33" s="93"/>
      <c r="D33" s="93"/>
      <c r="E33" s="93"/>
      <c r="F33" s="65"/>
      <c r="G33" s="69">
        <v>400000</v>
      </c>
      <c r="H33" s="144"/>
      <c r="I33" s="144"/>
    </row>
    <row r="34" spans="2:9" ht="13.15" customHeight="1" x14ac:dyDescent="0.25">
      <c r="B34" s="67"/>
      <c r="C34" s="93"/>
      <c r="D34" s="93"/>
      <c r="E34" s="93"/>
      <c r="F34" s="65"/>
      <c r="G34" s="69"/>
      <c r="H34" s="144"/>
      <c r="I34" s="144"/>
    </row>
    <row r="35" spans="2:9" ht="13.15" customHeight="1" x14ac:dyDescent="0.25">
      <c r="B35" s="67"/>
      <c r="C35" s="93"/>
      <c r="D35" s="93"/>
      <c r="E35" s="93"/>
      <c r="F35" s="65"/>
      <c r="G35" s="69"/>
      <c r="H35" s="144"/>
      <c r="I35" s="144"/>
    </row>
    <row r="36" spans="2:9" ht="13.15" customHeight="1" x14ac:dyDescent="0.25">
      <c r="B36" s="98"/>
      <c r="C36" s="72"/>
      <c r="D36" s="72"/>
      <c r="E36" s="72"/>
      <c r="F36" s="66"/>
      <c r="G36" s="70"/>
      <c r="H36" s="144"/>
      <c r="I36" s="144"/>
    </row>
    <row r="37" spans="2:9" ht="13.15" customHeight="1" x14ac:dyDescent="0.25">
      <c r="B37" s="94" t="s">
        <v>81</v>
      </c>
      <c r="C37" s="95"/>
      <c r="D37" s="95"/>
      <c r="E37" s="95"/>
      <c r="F37" s="97"/>
      <c r="G37" s="104">
        <f>SUM(G31:G36)</f>
        <v>650000</v>
      </c>
      <c r="H37" s="144"/>
      <c r="I37" s="144"/>
    </row>
    <row r="38" spans="2:9" x14ac:dyDescent="0.25">
      <c r="B38" s="144"/>
      <c r="C38" s="144"/>
      <c r="D38" s="144"/>
      <c r="E38" s="144"/>
      <c r="F38" s="144"/>
      <c r="G38" s="144"/>
      <c r="H38" s="144"/>
      <c r="I38" s="144"/>
    </row>
    <row r="39" spans="2:9" x14ac:dyDescent="0.25">
      <c r="B39" s="62" t="s">
        <v>84</v>
      </c>
      <c r="C39" s="144"/>
      <c r="D39" s="144"/>
      <c r="E39" s="144"/>
      <c r="F39" s="144"/>
      <c r="G39" s="144"/>
      <c r="H39" s="144"/>
      <c r="I39" s="14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workbookViewId="0">
      <pane xSplit="3" ySplit="3" topLeftCell="D43" activePane="bottomRight" state="frozen"/>
      <selection pane="topRight" activeCell="D1" sqref="D1"/>
      <selection pane="bottomLeft" activeCell="A4" sqref="A4"/>
      <selection pane="bottomRight" activeCell="H13" sqref="H13"/>
    </sheetView>
  </sheetViews>
  <sheetFormatPr baseColWidth="10" defaultRowHeight="15" x14ac:dyDescent="0.25"/>
  <cols>
    <col min="1" max="1" width="7.28515625" customWidth="1"/>
    <col min="2" max="2" width="33.140625" customWidth="1"/>
    <col min="3" max="3" width="7.5703125" style="144" customWidth="1"/>
    <col min="4" max="4" width="14.5703125" bestFit="1" customWidth="1"/>
    <col min="5" max="5" width="15.7109375" customWidth="1"/>
    <col min="6" max="6" width="15.7109375" bestFit="1" customWidth="1"/>
    <col min="7" max="7" width="13.28515625" bestFit="1" customWidth="1"/>
    <col min="8" max="10" width="13.28515625" style="144" customWidth="1"/>
  </cols>
  <sheetData>
    <row r="1" spans="1:13" ht="23.25" x14ac:dyDescent="0.35">
      <c r="B1" s="1" t="s">
        <v>140</v>
      </c>
      <c r="C1" s="1"/>
      <c r="D1" s="2"/>
      <c r="E1" s="3"/>
      <c r="F1" s="3"/>
      <c r="G1" s="3"/>
      <c r="H1" s="3"/>
      <c r="I1" s="3"/>
      <c r="J1" s="3"/>
    </row>
    <row r="2" spans="1:13" ht="23.25" x14ac:dyDescent="0.35">
      <c r="B2" s="1"/>
      <c r="C2" s="1"/>
      <c r="D2" s="2"/>
      <c r="E2" s="3"/>
      <c r="F2" s="3"/>
      <c r="G2" s="3"/>
      <c r="H2" s="3"/>
      <c r="I2" s="3"/>
      <c r="J2" s="3"/>
    </row>
    <row r="3" spans="1:13" x14ac:dyDescent="0.25">
      <c r="A3" s="27" t="s">
        <v>0</v>
      </c>
      <c r="B3" s="26" t="s">
        <v>1</v>
      </c>
      <c r="C3" s="169" t="s">
        <v>77</v>
      </c>
      <c r="D3" s="27" t="s">
        <v>89</v>
      </c>
      <c r="E3" s="27" t="s">
        <v>112</v>
      </c>
      <c r="F3" s="27" t="s">
        <v>136</v>
      </c>
      <c r="G3" s="27" t="s">
        <v>108</v>
      </c>
      <c r="H3" s="27" t="s">
        <v>138</v>
      </c>
      <c r="I3" s="27" t="s">
        <v>128</v>
      </c>
      <c r="J3" s="27" t="s">
        <v>160</v>
      </c>
    </row>
    <row r="4" spans="1:13" x14ac:dyDescent="0.25">
      <c r="A4" s="13">
        <v>3110</v>
      </c>
      <c r="B4" s="13" t="s">
        <v>2</v>
      </c>
      <c r="C4" s="170"/>
      <c r="D4" s="138"/>
      <c r="E4" s="138"/>
      <c r="F4" s="138"/>
      <c r="G4" s="138"/>
      <c r="H4" s="138"/>
      <c r="I4" s="138"/>
      <c r="J4" s="138"/>
    </row>
    <row r="5" spans="1:13" x14ac:dyDescent="0.25">
      <c r="A5" s="13">
        <v>3115</v>
      </c>
      <c r="B5" s="13" t="s">
        <v>3</v>
      </c>
      <c r="C5" s="170"/>
      <c r="D5" s="138"/>
      <c r="E5" s="138"/>
      <c r="F5" s="138"/>
      <c r="G5" s="138"/>
      <c r="H5" s="138"/>
      <c r="I5" s="138"/>
      <c r="J5" s="138"/>
    </row>
    <row r="6" spans="1:13" x14ac:dyDescent="0.25">
      <c r="A6" s="13">
        <v>3400</v>
      </c>
      <c r="B6" s="13" t="s">
        <v>4</v>
      </c>
      <c r="C6" s="170"/>
      <c r="D6" s="138">
        <v>25862</v>
      </c>
      <c r="E6" s="138">
        <v>20819</v>
      </c>
      <c r="F6" s="138">
        <v>13507</v>
      </c>
      <c r="G6" s="138">
        <v>18000</v>
      </c>
      <c r="H6" s="138">
        <v>27832</v>
      </c>
      <c r="I6" s="138">
        <v>18000</v>
      </c>
      <c r="J6" s="138">
        <v>20000</v>
      </c>
    </row>
    <row r="7" spans="1:13" x14ac:dyDescent="0.25">
      <c r="A7" s="13">
        <v>3440</v>
      </c>
      <c r="B7" s="13" t="s">
        <v>55</v>
      </c>
      <c r="C7" s="170"/>
      <c r="D7" s="138"/>
      <c r="E7" s="138"/>
      <c r="F7" s="138"/>
      <c r="G7" s="138"/>
      <c r="H7" s="138"/>
      <c r="I7" s="138"/>
      <c r="J7" s="138"/>
    </row>
    <row r="8" spans="1:13" x14ac:dyDescent="0.25">
      <c r="A8" s="13">
        <v>3605</v>
      </c>
      <c r="B8" s="13" t="s">
        <v>5</v>
      </c>
      <c r="C8" s="170"/>
      <c r="D8" s="138"/>
      <c r="E8" s="138"/>
      <c r="F8" s="138"/>
      <c r="G8" s="138"/>
      <c r="H8" s="138"/>
      <c r="I8" s="138"/>
      <c r="J8" s="138"/>
    </row>
    <row r="9" spans="1:13" x14ac:dyDescent="0.25">
      <c r="A9" s="13">
        <v>3620</v>
      </c>
      <c r="B9" s="23" t="s">
        <v>91</v>
      </c>
      <c r="C9" s="172"/>
      <c r="D9" s="138"/>
      <c r="E9" s="138"/>
      <c r="F9" s="138"/>
      <c r="G9" s="138"/>
      <c r="H9" s="138"/>
      <c r="I9" s="138"/>
      <c r="J9" s="138"/>
    </row>
    <row r="10" spans="1:13" x14ac:dyDescent="0.25">
      <c r="A10" s="13">
        <v>3920</v>
      </c>
      <c r="B10" s="13" t="s">
        <v>6</v>
      </c>
      <c r="C10" s="170"/>
      <c r="D10" s="138"/>
      <c r="E10" s="138"/>
      <c r="F10" s="138"/>
      <c r="G10" s="138"/>
      <c r="H10" s="138"/>
      <c r="I10" s="138"/>
      <c r="J10" s="138"/>
    </row>
    <row r="11" spans="1:13" x14ac:dyDescent="0.25">
      <c r="A11" s="13">
        <v>3925</v>
      </c>
      <c r="B11" s="13" t="s">
        <v>7</v>
      </c>
      <c r="C11" s="170"/>
      <c r="D11" s="138">
        <v>11100</v>
      </c>
      <c r="E11" s="138">
        <v>9000</v>
      </c>
      <c r="F11" s="138">
        <v>14400</v>
      </c>
      <c r="G11" s="138">
        <v>9000</v>
      </c>
      <c r="H11" s="138">
        <v>8550</v>
      </c>
      <c r="I11" s="138">
        <f>46*400</f>
        <v>18400</v>
      </c>
      <c r="J11" s="138">
        <v>10000</v>
      </c>
      <c r="L11" t="s">
        <v>129</v>
      </c>
      <c r="M11">
        <f>14400/100</f>
        <v>144</v>
      </c>
    </row>
    <row r="12" spans="1:13" x14ac:dyDescent="0.25">
      <c r="A12" s="13">
        <v>3926</v>
      </c>
      <c r="B12" s="23" t="s">
        <v>13</v>
      </c>
      <c r="C12" s="172"/>
      <c r="D12" s="138"/>
      <c r="E12" s="138"/>
      <c r="F12" s="138"/>
      <c r="G12" s="138"/>
      <c r="H12" s="138"/>
      <c r="I12" s="138"/>
      <c r="J12" s="138"/>
    </row>
    <row r="13" spans="1:13" x14ac:dyDescent="0.25">
      <c r="A13" s="13">
        <v>3950</v>
      </c>
      <c r="B13" s="13" t="s">
        <v>9</v>
      </c>
      <c r="C13" s="170"/>
      <c r="D13" s="138">
        <v>14946</v>
      </c>
      <c r="E13" s="138">
        <v>13351</v>
      </c>
      <c r="F13" s="138">
        <v>11295</v>
      </c>
      <c r="G13" s="138">
        <v>13000</v>
      </c>
      <c r="H13" s="138">
        <v>31850</v>
      </c>
      <c r="I13" s="138">
        <v>13000</v>
      </c>
      <c r="J13" s="138">
        <v>12000</v>
      </c>
    </row>
    <row r="14" spans="1:13" x14ac:dyDescent="0.25">
      <c r="A14" s="13">
        <v>3970</v>
      </c>
      <c r="B14" s="13" t="s">
        <v>10</v>
      </c>
      <c r="C14" s="170"/>
      <c r="D14" s="138"/>
      <c r="E14" s="138"/>
      <c r="F14" s="138"/>
      <c r="G14" s="138"/>
      <c r="H14" s="138"/>
      <c r="I14" s="138"/>
      <c r="J14" s="138"/>
    </row>
    <row r="15" spans="1:13" x14ac:dyDescent="0.25">
      <c r="A15" s="13">
        <v>3975</v>
      </c>
      <c r="B15" s="13" t="s">
        <v>11</v>
      </c>
      <c r="C15" s="170"/>
      <c r="D15" s="138"/>
      <c r="E15" s="138"/>
      <c r="F15" s="138"/>
      <c r="G15" s="138"/>
      <c r="H15" s="138"/>
      <c r="I15" s="138"/>
      <c r="J15" s="138">
        <v>6000</v>
      </c>
    </row>
    <row r="16" spans="1:13" x14ac:dyDescent="0.25">
      <c r="A16" s="13">
        <v>3980</v>
      </c>
      <c r="B16" s="13" t="s">
        <v>12</v>
      </c>
      <c r="C16" s="170"/>
      <c r="D16" s="138"/>
      <c r="E16" s="138"/>
      <c r="F16" s="138"/>
      <c r="G16" s="138"/>
      <c r="H16" s="138"/>
      <c r="I16" s="138"/>
      <c r="J16" s="138"/>
    </row>
    <row r="17" spans="1:12" x14ac:dyDescent="0.25">
      <c r="A17" s="13">
        <v>3990</v>
      </c>
      <c r="B17" s="23" t="s">
        <v>8</v>
      </c>
      <c r="C17" s="172"/>
      <c r="D17" s="138"/>
      <c r="E17" s="138"/>
      <c r="F17" s="138"/>
      <c r="G17" s="138"/>
      <c r="H17" s="138">
        <v>3333</v>
      </c>
      <c r="I17" s="138"/>
      <c r="J17" s="138">
        <v>3500</v>
      </c>
    </row>
    <row r="18" spans="1:12" x14ac:dyDescent="0.25">
      <c r="A18" s="13"/>
      <c r="B18" s="30" t="s">
        <v>14</v>
      </c>
      <c r="C18" s="173"/>
      <c r="D18" s="31">
        <f t="shared" ref="D18:J18" si="0">SUM(D4:D17)</f>
        <v>51908</v>
      </c>
      <c r="E18" s="140">
        <f t="shared" si="0"/>
        <v>43170</v>
      </c>
      <c r="F18" s="140">
        <f t="shared" si="0"/>
        <v>39202</v>
      </c>
      <c r="G18" s="140">
        <f t="shared" si="0"/>
        <v>40000</v>
      </c>
      <c r="H18" s="140">
        <f t="shared" si="0"/>
        <v>71565</v>
      </c>
      <c r="I18" s="140">
        <f t="shared" si="0"/>
        <v>49400</v>
      </c>
      <c r="J18" s="140">
        <f t="shared" si="0"/>
        <v>51500</v>
      </c>
    </row>
    <row r="19" spans="1:12" x14ac:dyDescent="0.25">
      <c r="A19" s="13"/>
      <c r="B19" s="12" t="s">
        <v>15</v>
      </c>
      <c r="C19" s="174"/>
      <c r="D19" s="22"/>
      <c r="E19" s="135"/>
      <c r="F19" s="135"/>
      <c r="G19" s="135"/>
      <c r="H19" s="135"/>
      <c r="I19" s="135"/>
      <c r="J19" s="135"/>
    </row>
    <row r="20" spans="1:12" x14ac:dyDescent="0.25">
      <c r="A20" s="13">
        <v>4210</v>
      </c>
      <c r="B20" s="13" t="s">
        <v>16</v>
      </c>
      <c r="C20" s="170"/>
      <c r="D20" s="135">
        <v>7616</v>
      </c>
      <c r="E20" s="135">
        <v>13079</v>
      </c>
      <c r="F20" s="135">
        <v>11667.2</v>
      </c>
      <c r="G20" s="135">
        <v>13000</v>
      </c>
      <c r="H20" s="135">
        <v>5237</v>
      </c>
      <c r="I20" s="135">
        <v>13000</v>
      </c>
      <c r="J20" s="135">
        <v>8000</v>
      </c>
    </row>
    <row r="21" spans="1:12" x14ac:dyDescent="0.25">
      <c r="A21" s="13">
        <v>4220</v>
      </c>
      <c r="B21" s="13" t="s">
        <v>17</v>
      </c>
      <c r="C21" s="170"/>
      <c r="D21" s="135"/>
      <c r="E21" s="135"/>
      <c r="F21" s="135"/>
      <c r="G21" s="135"/>
      <c r="H21" s="135"/>
      <c r="I21" s="135"/>
      <c r="J21" s="135"/>
    </row>
    <row r="22" spans="1:12" x14ac:dyDescent="0.25">
      <c r="A22" s="13">
        <v>4225</v>
      </c>
      <c r="B22" s="13" t="s">
        <v>19</v>
      </c>
      <c r="C22" s="170"/>
      <c r="D22" s="135"/>
      <c r="E22" s="135"/>
      <c r="F22" s="135"/>
      <c r="G22" s="135"/>
      <c r="H22" s="135"/>
      <c r="I22" s="135"/>
      <c r="J22" s="135"/>
    </row>
    <row r="23" spans="1:12" x14ac:dyDescent="0.25">
      <c r="A23" s="13">
        <v>4300</v>
      </c>
      <c r="B23" s="13" t="s">
        <v>18</v>
      </c>
      <c r="C23" s="170"/>
      <c r="D23" s="135"/>
      <c r="E23" s="135"/>
      <c r="F23" s="135"/>
      <c r="G23" s="135"/>
      <c r="H23" s="135"/>
      <c r="I23" s="135"/>
      <c r="J23" s="135"/>
    </row>
    <row r="24" spans="1:12" x14ac:dyDescent="0.25">
      <c r="A24" s="13">
        <v>5000</v>
      </c>
      <c r="B24" s="13" t="s">
        <v>20</v>
      </c>
      <c r="C24" s="170"/>
      <c r="D24" s="135"/>
      <c r="E24" s="135"/>
      <c r="F24" s="135"/>
      <c r="G24" s="135"/>
      <c r="H24" s="135"/>
      <c r="I24" s="135"/>
      <c r="J24" s="135"/>
    </row>
    <row r="25" spans="1:12" x14ac:dyDescent="0.25">
      <c r="A25" s="13">
        <v>6315</v>
      </c>
      <c r="B25" s="13" t="s">
        <v>22</v>
      </c>
      <c r="C25" s="170"/>
      <c r="D25" s="135"/>
      <c r="E25" s="135"/>
      <c r="F25" s="135"/>
      <c r="G25" s="135"/>
      <c r="H25" s="135"/>
      <c r="I25" s="135"/>
      <c r="J25" s="135"/>
    </row>
    <row r="26" spans="1:12" x14ac:dyDescent="0.25">
      <c r="A26" s="13">
        <v>6316</v>
      </c>
      <c r="B26" s="13" t="s">
        <v>39</v>
      </c>
      <c r="C26" s="170"/>
      <c r="D26" s="135"/>
      <c r="E26" s="135"/>
      <c r="F26" s="135"/>
      <c r="G26" s="135"/>
      <c r="H26" s="135"/>
      <c r="I26" s="135"/>
      <c r="J26" s="135"/>
    </row>
    <row r="27" spans="1:12" x14ac:dyDescent="0.25">
      <c r="A27" s="13">
        <v>6320</v>
      </c>
      <c r="B27" s="13" t="s">
        <v>23</v>
      </c>
      <c r="C27" s="170"/>
      <c r="D27" s="135"/>
      <c r="E27" s="135"/>
      <c r="F27" s="135"/>
      <c r="G27" s="135"/>
      <c r="H27" s="135"/>
      <c r="I27" s="135"/>
      <c r="J27" s="135"/>
    </row>
    <row r="28" spans="1:12" x14ac:dyDescent="0.25">
      <c r="A28" s="13">
        <v>6340</v>
      </c>
      <c r="B28" s="13" t="s">
        <v>41</v>
      </c>
      <c r="C28" s="170"/>
      <c r="D28" s="135"/>
      <c r="E28" s="135"/>
      <c r="F28" s="135"/>
      <c r="G28" s="135"/>
      <c r="H28" s="135"/>
      <c r="I28" s="135"/>
      <c r="J28" s="135"/>
    </row>
    <row r="29" spans="1:12" x14ac:dyDescent="0.25">
      <c r="A29" s="13">
        <v>6340</v>
      </c>
      <c r="B29" s="13" t="s">
        <v>42</v>
      </c>
      <c r="C29" s="170"/>
      <c r="D29" s="135"/>
      <c r="E29" s="135"/>
      <c r="F29" s="135"/>
      <c r="G29" s="135"/>
      <c r="H29" s="135"/>
      <c r="I29" s="135"/>
      <c r="J29" s="135"/>
    </row>
    <row r="30" spans="1:12" x14ac:dyDescent="0.25">
      <c r="A30" s="13">
        <v>6550</v>
      </c>
      <c r="B30" s="13" t="s">
        <v>40</v>
      </c>
      <c r="C30" s="170"/>
      <c r="D30" s="135">
        <v>3490</v>
      </c>
      <c r="E30" s="135">
        <v>827</v>
      </c>
      <c r="F30" s="135">
        <v>3600</v>
      </c>
      <c r="G30" s="135">
        <v>3000</v>
      </c>
      <c r="H30" s="135">
        <v>35297.449999999997</v>
      </c>
      <c r="I30" s="135">
        <v>4000</v>
      </c>
      <c r="J30" s="135">
        <v>30000</v>
      </c>
      <c r="K30" s="144"/>
      <c r="L30" t="s">
        <v>130</v>
      </c>
    </row>
    <row r="31" spans="1:12" x14ac:dyDescent="0.25">
      <c r="A31" s="13">
        <v>6600</v>
      </c>
      <c r="B31" s="13" t="s">
        <v>24</v>
      </c>
      <c r="C31" s="170"/>
      <c r="D31" s="135"/>
      <c r="E31" s="135"/>
      <c r="F31" s="123"/>
      <c r="G31" s="135"/>
      <c r="H31" s="135"/>
      <c r="I31" s="135"/>
      <c r="J31" s="135"/>
    </row>
    <row r="32" spans="1:12" x14ac:dyDescent="0.25">
      <c r="A32" s="13">
        <v>6620</v>
      </c>
      <c r="B32" s="13" t="s">
        <v>25</v>
      </c>
      <c r="C32" s="170"/>
      <c r="D32" s="135"/>
      <c r="E32" s="135"/>
      <c r="F32" s="135"/>
      <c r="G32" s="135"/>
      <c r="H32" s="135"/>
      <c r="I32" s="135"/>
      <c r="J32" s="135"/>
    </row>
    <row r="33" spans="1:10" x14ac:dyDescent="0.25">
      <c r="A33" s="13">
        <v>6630</v>
      </c>
      <c r="B33" s="13" t="s">
        <v>47</v>
      </c>
      <c r="C33" s="170"/>
      <c r="D33" s="135"/>
      <c r="E33" s="135"/>
      <c r="F33" s="135"/>
      <c r="G33" s="135"/>
      <c r="H33" s="135"/>
      <c r="I33" s="135"/>
      <c r="J33" s="135"/>
    </row>
    <row r="34" spans="1:10" x14ac:dyDescent="0.25">
      <c r="A34" s="13">
        <v>6705</v>
      </c>
      <c r="B34" s="23" t="s">
        <v>28</v>
      </c>
      <c r="C34" s="172"/>
      <c r="D34" s="135"/>
      <c r="E34" s="135"/>
      <c r="F34" s="135"/>
      <c r="G34" s="135"/>
      <c r="H34" s="135"/>
      <c r="I34" s="135"/>
      <c r="J34" s="135"/>
    </row>
    <row r="35" spans="1:10" x14ac:dyDescent="0.25">
      <c r="A35" s="13">
        <v>6800</v>
      </c>
      <c r="B35" s="13" t="s">
        <v>43</v>
      </c>
      <c r="C35" s="170"/>
      <c r="D35" s="135"/>
      <c r="E35" s="135"/>
      <c r="F35" s="135"/>
      <c r="G35" s="135"/>
      <c r="H35" s="135"/>
      <c r="I35" s="135"/>
      <c r="J35" s="135"/>
    </row>
    <row r="36" spans="1:10" x14ac:dyDescent="0.25">
      <c r="A36" s="13">
        <v>6840</v>
      </c>
      <c r="B36" s="13" t="s">
        <v>26</v>
      </c>
      <c r="C36" s="170"/>
      <c r="D36" s="135"/>
      <c r="E36" s="135"/>
      <c r="F36" s="135"/>
      <c r="G36" s="135"/>
      <c r="H36" s="135"/>
      <c r="I36" s="135"/>
      <c r="J36" s="135"/>
    </row>
    <row r="37" spans="1:10" x14ac:dyDescent="0.25">
      <c r="A37" s="13">
        <v>6860</v>
      </c>
      <c r="B37" s="13" t="s">
        <v>27</v>
      </c>
      <c r="C37" s="170"/>
      <c r="D37" s="135"/>
      <c r="E37" s="135"/>
      <c r="F37" s="135"/>
      <c r="G37" s="135"/>
      <c r="H37" s="135"/>
      <c r="I37" s="135"/>
      <c r="J37" s="135"/>
    </row>
    <row r="38" spans="1:10" x14ac:dyDescent="0.25">
      <c r="A38" s="13">
        <v>6900</v>
      </c>
      <c r="B38" s="23" t="s">
        <v>44</v>
      </c>
      <c r="C38" s="172"/>
      <c r="D38" s="135"/>
      <c r="E38" s="135"/>
      <c r="F38" s="135"/>
      <c r="G38" s="135"/>
      <c r="H38" s="135"/>
      <c r="I38" s="135"/>
      <c r="J38" s="135"/>
    </row>
    <row r="39" spans="1:10" x14ac:dyDescent="0.25">
      <c r="A39" s="13">
        <v>6940</v>
      </c>
      <c r="B39" s="13" t="s">
        <v>29</v>
      </c>
      <c r="C39" s="170"/>
      <c r="D39" s="135"/>
      <c r="E39" s="135"/>
      <c r="F39" s="135"/>
      <c r="G39" s="135"/>
      <c r="H39" s="135"/>
      <c r="I39" s="135"/>
      <c r="J39" s="135"/>
    </row>
    <row r="40" spans="1:10" x14ac:dyDescent="0.25">
      <c r="A40" s="13">
        <v>7000</v>
      </c>
      <c r="B40" s="13" t="s">
        <v>48</v>
      </c>
      <c r="C40" s="170"/>
      <c r="D40" s="135"/>
      <c r="E40" s="135"/>
      <c r="F40" s="135"/>
      <c r="G40" s="135"/>
      <c r="H40" s="135"/>
      <c r="I40" s="135"/>
      <c r="J40" s="135"/>
    </row>
    <row r="41" spans="1:10" x14ac:dyDescent="0.25">
      <c r="A41" s="13">
        <v>7140</v>
      </c>
      <c r="B41" s="13" t="s">
        <v>45</v>
      </c>
      <c r="C41" s="170"/>
      <c r="D41" s="135"/>
      <c r="E41" s="135"/>
      <c r="F41" s="135"/>
      <c r="G41" s="135"/>
      <c r="H41" s="135"/>
      <c r="I41" s="135"/>
      <c r="J41" s="135"/>
    </row>
    <row r="42" spans="1:10" x14ac:dyDescent="0.25">
      <c r="A42" s="13">
        <v>7320</v>
      </c>
      <c r="B42" s="23" t="s">
        <v>30</v>
      </c>
      <c r="C42" s="172"/>
      <c r="D42" s="135"/>
      <c r="E42" s="135"/>
      <c r="F42" s="135"/>
      <c r="G42" s="135"/>
      <c r="H42" s="135"/>
      <c r="I42" s="135"/>
      <c r="J42" s="135"/>
    </row>
    <row r="43" spans="1:10" x14ac:dyDescent="0.25">
      <c r="A43" s="13">
        <v>7400</v>
      </c>
      <c r="B43" s="13" t="s">
        <v>31</v>
      </c>
      <c r="C43" s="170"/>
      <c r="D43" s="135">
        <v>10040</v>
      </c>
      <c r="E43" s="135">
        <v>4930</v>
      </c>
      <c r="F43" s="135">
        <v>4750</v>
      </c>
      <c r="G43" s="135">
        <v>6000</v>
      </c>
      <c r="H43" s="135">
        <v>4675</v>
      </c>
      <c r="I43" s="135">
        <v>6000</v>
      </c>
      <c r="J43" s="135">
        <v>4000</v>
      </c>
    </row>
    <row r="44" spans="1:10" x14ac:dyDescent="0.25">
      <c r="A44" s="13">
        <v>7420</v>
      </c>
      <c r="B44" s="13" t="s">
        <v>12</v>
      </c>
      <c r="C44" s="170"/>
      <c r="D44" s="135">
        <v>3243</v>
      </c>
      <c r="E44" s="135">
        <v>3000</v>
      </c>
      <c r="F44" s="135">
        <v>4500</v>
      </c>
      <c r="G44" s="135">
        <v>3000</v>
      </c>
      <c r="H44" s="135">
        <v>1500</v>
      </c>
      <c r="I44" s="135">
        <v>4500</v>
      </c>
      <c r="J44" s="135">
        <v>1500</v>
      </c>
    </row>
    <row r="45" spans="1:10" x14ac:dyDescent="0.25">
      <c r="A45" s="13">
        <v>7500</v>
      </c>
      <c r="B45" s="13" t="s">
        <v>21</v>
      </c>
      <c r="C45" s="170"/>
      <c r="D45" s="135"/>
      <c r="E45" s="135"/>
      <c r="F45" s="135"/>
      <c r="G45" s="135"/>
      <c r="H45" s="135"/>
      <c r="I45" s="135"/>
      <c r="J45" s="135"/>
    </row>
    <row r="46" spans="1:10" s="144" customFormat="1" x14ac:dyDescent="0.25">
      <c r="A46" s="13">
        <v>7745</v>
      </c>
      <c r="B46" s="13" t="s">
        <v>92</v>
      </c>
      <c r="C46" s="170"/>
      <c r="D46" s="135"/>
      <c r="E46" s="135"/>
      <c r="F46" s="135"/>
      <c r="G46" s="135"/>
      <c r="H46" s="135"/>
      <c r="I46" s="135"/>
      <c r="J46" s="135"/>
    </row>
    <row r="47" spans="1:10" x14ac:dyDescent="0.25">
      <c r="A47" s="13">
        <v>7750</v>
      </c>
      <c r="B47" s="13" t="s">
        <v>32</v>
      </c>
      <c r="C47" s="170"/>
      <c r="D47" s="135">
        <v>8010</v>
      </c>
      <c r="E47" s="135">
        <v>12858</v>
      </c>
      <c r="F47" s="135">
        <v>13675</v>
      </c>
      <c r="G47" s="135">
        <v>15000</v>
      </c>
      <c r="H47" s="135">
        <v>4340</v>
      </c>
      <c r="I47" s="135">
        <v>15000</v>
      </c>
      <c r="J47" s="135">
        <v>5000</v>
      </c>
    </row>
    <row r="48" spans="1:10" x14ac:dyDescent="0.25">
      <c r="A48" s="13">
        <v>7755</v>
      </c>
      <c r="B48" s="13" t="s">
        <v>33</v>
      </c>
      <c r="C48" s="170"/>
      <c r="D48" s="135">
        <v>9437.5</v>
      </c>
      <c r="E48" s="135"/>
      <c r="F48" s="135"/>
      <c r="G48" s="135"/>
      <c r="H48" s="135"/>
      <c r="I48" s="135"/>
      <c r="J48" s="135">
        <v>3000</v>
      </c>
    </row>
    <row r="49" spans="1:10" x14ac:dyDescent="0.25">
      <c r="A49" s="13">
        <v>7770</v>
      </c>
      <c r="B49" s="13" t="s">
        <v>46</v>
      </c>
      <c r="C49" s="170"/>
      <c r="D49" s="135"/>
      <c r="E49" s="135"/>
      <c r="F49" s="135"/>
      <c r="G49" s="135"/>
      <c r="H49" s="135"/>
      <c r="I49" s="135"/>
      <c r="J49" s="135"/>
    </row>
    <row r="50" spans="1:10" x14ac:dyDescent="0.25">
      <c r="A50" s="13">
        <v>7790</v>
      </c>
      <c r="B50" s="13" t="s">
        <v>34</v>
      </c>
      <c r="C50" s="170"/>
      <c r="D50" s="135"/>
      <c r="E50" s="135"/>
      <c r="F50" s="135"/>
      <c r="G50" s="135"/>
      <c r="H50" s="135"/>
      <c r="I50" s="135"/>
      <c r="J50" s="135"/>
    </row>
    <row r="51" spans="1:10" x14ac:dyDescent="0.25">
      <c r="A51" s="13">
        <v>6010</v>
      </c>
      <c r="B51" s="23" t="s">
        <v>35</v>
      </c>
      <c r="C51" s="172"/>
      <c r="D51" s="135"/>
      <c r="E51" s="135"/>
      <c r="F51" s="135"/>
      <c r="G51" s="135"/>
      <c r="H51" s="135"/>
      <c r="I51" s="135"/>
      <c r="J51" s="135"/>
    </row>
    <row r="52" spans="1:10" x14ac:dyDescent="0.25">
      <c r="A52" s="13"/>
      <c r="B52" s="26" t="s">
        <v>36</v>
      </c>
      <c r="C52" s="169"/>
      <c r="D52" s="32">
        <f t="shared" ref="D52:J52" si="1">SUM(D20:D51)</f>
        <v>41836.5</v>
      </c>
      <c r="E52" s="141">
        <f t="shared" si="1"/>
        <v>34694</v>
      </c>
      <c r="F52" s="141">
        <f t="shared" si="1"/>
        <v>38192.199999999997</v>
      </c>
      <c r="G52" s="141">
        <f t="shared" si="1"/>
        <v>40000</v>
      </c>
      <c r="H52" s="141">
        <f t="shared" si="1"/>
        <v>51049.45</v>
      </c>
      <c r="I52" s="141">
        <f t="shared" si="1"/>
        <v>42500</v>
      </c>
      <c r="J52" s="141">
        <f t="shared" si="1"/>
        <v>51500</v>
      </c>
    </row>
    <row r="53" spans="1:10" x14ac:dyDescent="0.25">
      <c r="A53" s="13"/>
      <c r="B53" s="33"/>
      <c r="C53" s="175"/>
      <c r="D53" s="29"/>
      <c r="E53" s="139"/>
      <c r="F53" s="139"/>
      <c r="G53" s="139"/>
      <c r="H53" s="139"/>
      <c r="I53" s="139"/>
      <c r="J53" s="139"/>
    </row>
    <row r="54" spans="1:10" x14ac:dyDescent="0.25">
      <c r="A54" s="13"/>
      <c r="B54" s="26" t="s">
        <v>38</v>
      </c>
      <c r="C54" s="169"/>
      <c r="D54" s="32">
        <f t="shared" ref="D54:J54" si="2">(D18-D52)</f>
        <v>10071.5</v>
      </c>
      <c r="E54" s="141">
        <f t="shared" si="2"/>
        <v>8476</v>
      </c>
      <c r="F54" s="141">
        <f t="shared" si="2"/>
        <v>1009.8000000000029</v>
      </c>
      <c r="G54" s="141">
        <f t="shared" si="2"/>
        <v>0</v>
      </c>
      <c r="H54" s="141">
        <f t="shared" si="2"/>
        <v>20515.550000000003</v>
      </c>
      <c r="I54" s="141">
        <f t="shared" si="2"/>
        <v>6900</v>
      </c>
      <c r="J54" s="141">
        <f t="shared" si="2"/>
        <v>0</v>
      </c>
    </row>
    <row r="55" spans="1:10" x14ac:dyDescent="0.25">
      <c r="A55" s="23"/>
      <c r="B55" s="23"/>
      <c r="C55" s="172"/>
      <c r="D55" s="23"/>
      <c r="E55" s="136"/>
      <c r="F55" s="136"/>
      <c r="G55" s="136"/>
      <c r="H55" s="136"/>
      <c r="I55" s="136"/>
      <c r="J55" s="136"/>
    </row>
    <row r="56" spans="1:10" x14ac:dyDescent="0.25">
      <c r="A56" s="23"/>
      <c r="B56" s="24" t="s">
        <v>49</v>
      </c>
      <c r="C56" s="176"/>
      <c r="D56" s="25"/>
      <c r="E56" s="137"/>
      <c r="F56" s="137"/>
      <c r="G56" s="137"/>
      <c r="H56" s="137"/>
      <c r="I56" s="137"/>
      <c r="J56" s="137"/>
    </row>
    <row r="57" spans="1:10" x14ac:dyDescent="0.25">
      <c r="A57" s="23"/>
      <c r="B57" s="23" t="s">
        <v>50</v>
      </c>
      <c r="C57" s="172"/>
      <c r="D57" s="137">
        <v>159.74</v>
      </c>
      <c r="E57" s="137">
        <v>125.45</v>
      </c>
      <c r="F57" s="137">
        <v>67</v>
      </c>
      <c r="G57" s="137"/>
      <c r="H57" s="137"/>
      <c r="I57" s="137"/>
      <c r="J57" s="137"/>
    </row>
    <row r="58" spans="1:10" x14ac:dyDescent="0.25">
      <c r="A58" s="23"/>
      <c r="B58" s="23" t="s">
        <v>52</v>
      </c>
      <c r="C58" s="172"/>
      <c r="D58" s="137"/>
      <c r="E58" s="137"/>
      <c r="F58" s="137"/>
      <c r="G58" s="137"/>
      <c r="H58" s="137"/>
      <c r="I58" s="137"/>
      <c r="J58" s="137"/>
    </row>
    <row r="59" spans="1:10" x14ac:dyDescent="0.25">
      <c r="A59" s="23"/>
      <c r="B59" s="34" t="s">
        <v>53</v>
      </c>
      <c r="C59" s="177"/>
      <c r="D59" s="35">
        <f>D57-D58</f>
        <v>159.74</v>
      </c>
      <c r="E59" s="142">
        <f t="shared" ref="E59" si="3">E57-E58</f>
        <v>125.45</v>
      </c>
      <c r="F59" s="142">
        <f t="shared" ref="F59" si="4">F57-F58</f>
        <v>67</v>
      </c>
      <c r="G59" s="142">
        <f t="shared" ref="G59:J59" si="5">G57-G58</f>
        <v>0</v>
      </c>
      <c r="H59" s="142">
        <f t="shared" si="5"/>
        <v>0</v>
      </c>
      <c r="I59" s="142">
        <f t="shared" si="5"/>
        <v>0</v>
      </c>
      <c r="J59" s="142">
        <f t="shared" si="5"/>
        <v>0</v>
      </c>
    </row>
    <row r="60" spans="1:10" x14ac:dyDescent="0.25">
      <c r="A60" s="23"/>
      <c r="B60" s="23"/>
      <c r="C60" s="172"/>
      <c r="D60" s="25"/>
      <c r="E60" s="137"/>
      <c r="F60" s="137"/>
      <c r="G60" s="137"/>
      <c r="H60" s="137"/>
      <c r="I60" s="137"/>
      <c r="J60" s="137"/>
    </row>
    <row r="61" spans="1:10" x14ac:dyDescent="0.25">
      <c r="A61" s="23"/>
      <c r="B61" s="36" t="s">
        <v>37</v>
      </c>
      <c r="C61" s="178"/>
      <c r="D61" s="37">
        <f>D54+D59</f>
        <v>10231.24</v>
      </c>
      <c r="E61" s="143">
        <f t="shared" ref="E61" si="6">E54+E59</f>
        <v>8601.4500000000007</v>
      </c>
      <c r="F61" s="143">
        <f t="shared" ref="F61" si="7">F54+F59</f>
        <v>1076.8000000000029</v>
      </c>
      <c r="G61" s="143">
        <f>G54+G59</f>
        <v>0</v>
      </c>
      <c r="H61" s="143">
        <f t="shared" ref="H61:J61" si="8">H54+H59</f>
        <v>20515.550000000003</v>
      </c>
      <c r="I61" s="143">
        <f t="shared" si="8"/>
        <v>6900</v>
      </c>
      <c r="J61" s="143">
        <f t="shared" si="8"/>
        <v>0</v>
      </c>
    </row>
    <row r="63" spans="1:10" x14ac:dyDescent="0.25">
      <c r="B63" s="115" t="s">
        <v>87</v>
      </c>
      <c r="C63" s="115"/>
    </row>
    <row r="64" spans="1:10" x14ac:dyDescent="0.25">
      <c r="B64" t="s">
        <v>111</v>
      </c>
    </row>
  </sheetData>
  <pageMargins left="0.7" right="0.7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workbookViewId="0">
      <pane ySplit="1" topLeftCell="A38" activePane="bottomLeft" state="frozen"/>
      <selection pane="bottomLeft" activeCell="H6" sqref="H6"/>
    </sheetView>
  </sheetViews>
  <sheetFormatPr baseColWidth="10" defaultRowHeight="15" x14ac:dyDescent="0.25"/>
  <cols>
    <col min="1" max="1" width="8.140625" customWidth="1"/>
    <col min="2" max="2" width="30.28515625" customWidth="1"/>
    <col min="3" max="3" width="8" style="144" customWidth="1"/>
    <col min="4" max="4" width="14.5703125" bestFit="1" customWidth="1"/>
    <col min="5" max="5" width="15.7109375" customWidth="1"/>
    <col min="6" max="6" width="15.7109375" bestFit="1" customWidth="1"/>
    <col min="7" max="7" width="13.28515625" customWidth="1"/>
    <col min="8" max="8" width="15.7109375" style="144" customWidth="1"/>
    <col min="9" max="10" width="13.28515625" style="144" customWidth="1"/>
  </cols>
  <sheetData>
    <row r="1" spans="1:15" ht="23.25" x14ac:dyDescent="0.35">
      <c r="B1" s="1" t="s">
        <v>139</v>
      </c>
      <c r="C1" s="1"/>
      <c r="D1" s="2"/>
      <c r="E1" s="3"/>
      <c r="F1" s="3"/>
      <c r="G1" s="3"/>
      <c r="H1" s="3"/>
      <c r="I1" s="3"/>
      <c r="J1" s="3"/>
    </row>
    <row r="2" spans="1:15" ht="23.25" x14ac:dyDescent="0.35">
      <c r="B2" s="1"/>
      <c r="C2" s="1"/>
      <c r="D2" s="2"/>
      <c r="E2" s="3"/>
      <c r="F2" s="3"/>
      <c r="G2" s="3"/>
      <c r="H2" s="3"/>
      <c r="I2" s="3"/>
      <c r="J2" s="3"/>
      <c r="L2" s="146"/>
    </row>
    <row r="3" spans="1:15" x14ac:dyDescent="0.25">
      <c r="A3" s="27" t="s">
        <v>0</v>
      </c>
      <c r="B3" s="26" t="s">
        <v>1</v>
      </c>
      <c r="C3" s="169" t="s">
        <v>77</v>
      </c>
      <c r="D3" s="27" t="s">
        <v>89</v>
      </c>
      <c r="E3" s="27" t="s">
        <v>112</v>
      </c>
      <c r="F3" s="27" t="s">
        <v>136</v>
      </c>
      <c r="G3" s="27" t="s">
        <v>108</v>
      </c>
      <c r="H3" s="27" t="s">
        <v>138</v>
      </c>
      <c r="I3" s="27" t="s">
        <v>128</v>
      </c>
      <c r="J3" s="27" t="s">
        <v>160</v>
      </c>
      <c r="L3" s="147"/>
    </row>
    <row r="4" spans="1:15" x14ac:dyDescent="0.25">
      <c r="A4" s="13">
        <v>3110</v>
      </c>
      <c r="B4" s="13" t="s">
        <v>2</v>
      </c>
      <c r="C4" s="170"/>
      <c r="D4" s="138"/>
      <c r="E4" s="124">
        <f>'Fotball lagvis'!E7</f>
        <v>0</v>
      </c>
      <c r="F4" s="124">
        <f>'Fotball lagvis'!J7</f>
        <v>0</v>
      </c>
      <c r="G4" s="124">
        <f>'Fotball lagvis'!L7</f>
        <v>0</v>
      </c>
      <c r="H4" s="124">
        <f>'Fotball lagvis'!K7</f>
        <v>0</v>
      </c>
      <c r="I4" s="124">
        <f>'Fotball lagvis'!M7</f>
        <v>0</v>
      </c>
      <c r="J4" s="124">
        <f>'Fotball lagvis'!N7</f>
        <v>0</v>
      </c>
      <c r="L4" s="148"/>
      <c r="M4" s="145"/>
      <c r="N4" s="145"/>
      <c r="O4" s="145"/>
    </row>
    <row r="5" spans="1:15" x14ac:dyDescent="0.25">
      <c r="A5" s="13">
        <v>3115</v>
      </c>
      <c r="B5" s="13" t="s">
        <v>3</v>
      </c>
      <c r="C5" s="170"/>
      <c r="D5" s="138"/>
      <c r="E5" s="124">
        <f>'Fotball lagvis'!E8</f>
        <v>0</v>
      </c>
      <c r="F5" s="124">
        <f>'Fotball lagvis'!J8</f>
        <v>0</v>
      </c>
      <c r="G5" s="124">
        <f>'Fotball lagvis'!L8</f>
        <v>0</v>
      </c>
      <c r="H5" s="124">
        <f>'Fotball lagvis'!K8</f>
        <v>0</v>
      </c>
      <c r="I5" s="124">
        <f>'Fotball lagvis'!M8</f>
        <v>0</v>
      </c>
      <c r="J5" s="124">
        <f>'Fotball lagvis'!N8</f>
        <v>0</v>
      </c>
      <c r="L5" s="148"/>
      <c r="M5" s="145"/>
      <c r="N5" s="145"/>
      <c r="O5" s="145"/>
    </row>
    <row r="6" spans="1:15" x14ac:dyDescent="0.25">
      <c r="A6" s="13">
        <v>3400</v>
      </c>
      <c r="B6" s="13" t="s">
        <v>4</v>
      </c>
      <c r="C6" s="170"/>
      <c r="D6" s="138">
        <v>59292</v>
      </c>
      <c r="E6" s="124">
        <f>'Fotball lagvis'!E9</f>
        <v>86480</v>
      </c>
      <c r="F6" s="124">
        <f>'Fotball lagvis'!J9</f>
        <v>126295</v>
      </c>
      <c r="G6" s="124">
        <f>'Fotball lagvis'!L9</f>
        <v>80000</v>
      </c>
      <c r="H6" s="124">
        <f>'Fotball lagvis'!K9</f>
        <v>117876</v>
      </c>
      <c r="I6" s="124">
        <f>'Fotball lagvis'!M9</f>
        <v>71000</v>
      </c>
      <c r="J6" s="124">
        <f>'Fotball lagvis'!N9</f>
        <v>53500</v>
      </c>
      <c r="L6" s="148"/>
      <c r="M6" s="145"/>
      <c r="N6" s="145"/>
      <c r="O6" s="145"/>
    </row>
    <row r="7" spans="1:15" x14ac:dyDescent="0.25">
      <c r="A7" s="13">
        <v>3440</v>
      </c>
      <c r="B7" s="13" t="s">
        <v>55</v>
      </c>
      <c r="C7" s="170"/>
      <c r="D7" s="138"/>
      <c r="E7" s="124">
        <f>'Fotball lagvis'!E10</f>
        <v>0</v>
      </c>
      <c r="F7" s="124">
        <f>'Fotball lagvis'!J10</f>
        <v>0</v>
      </c>
      <c r="G7" s="124">
        <f>'Fotball lagvis'!L10</f>
        <v>0</v>
      </c>
      <c r="H7" s="124">
        <f>'Fotball lagvis'!K10</f>
        <v>0</v>
      </c>
      <c r="I7" s="124">
        <f>'Fotball lagvis'!M10</f>
        <v>0</v>
      </c>
      <c r="J7" s="124">
        <f>'Fotball lagvis'!N10</f>
        <v>0</v>
      </c>
      <c r="L7" s="148"/>
      <c r="M7" s="145"/>
      <c r="N7" s="145"/>
      <c r="O7" s="145"/>
    </row>
    <row r="8" spans="1:15" x14ac:dyDescent="0.25">
      <c r="A8" s="13">
        <v>3605</v>
      </c>
      <c r="B8" s="13" t="s">
        <v>5</v>
      </c>
      <c r="C8" s="170"/>
      <c r="D8" s="138"/>
      <c r="E8" s="124">
        <f>'Fotball lagvis'!E11</f>
        <v>0</v>
      </c>
      <c r="F8" s="124">
        <f>'Fotball lagvis'!J11</f>
        <v>0</v>
      </c>
      <c r="G8" s="124">
        <f>'Fotball lagvis'!L11</f>
        <v>0</v>
      </c>
      <c r="H8" s="124">
        <f>'Fotball lagvis'!K11</f>
        <v>0</v>
      </c>
      <c r="I8" s="124">
        <f>'Fotball lagvis'!M11</f>
        <v>0</v>
      </c>
      <c r="J8" s="124">
        <f>'Fotball lagvis'!N11</f>
        <v>0</v>
      </c>
      <c r="L8" s="148"/>
      <c r="M8" s="145"/>
      <c r="N8" s="145"/>
      <c r="O8" s="145"/>
    </row>
    <row r="9" spans="1:15" x14ac:dyDescent="0.25">
      <c r="A9" s="13">
        <v>3620</v>
      </c>
      <c r="B9" s="23" t="s">
        <v>91</v>
      </c>
      <c r="C9" s="172"/>
      <c r="D9" s="138"/>
      <c r="E9" s="124">
        <f>'Fotball lagvis'!E12</f>
        <v>2750</v>
      </c>
      <c r="F9" s="124">
        <f>'Fotball lagvis'!J12</f>
        <v>0</v>
      </c>
      <c r="G9" s="124">
        <f>'Fotball lagvis'!L12</f>
        <v>0</v>
      </c>
      <c r="H9" s="124">
        <f>'Fotball lagvis'!K12</f>
        <v>0</v>
      </c>
      <c r="I9" s="124">
        <f>'Fotball lagvis'!M12</f>
        <v>0</v>
      </c>
      <c r="J9" s="124">
        <f>'Fotball lagvis'!N12</f>
        <v>0</v>
      </c>
      <c r="L9" s="148"/>
      <c r="M9" s="145"/>
      <c r="N9" s="145"/>
      <c r="O9" s="145"/>
    </row>
    <row r="10" spans="1:15" x14ac:dyDescent="0.25">
      <c r="A10" s="13">
        <v>3920</v>
      </c>
      <c r="B10" s="13" t="s">
        <v>6</v>
      </c>
      <c r="C10" s="170"/>
      <c r="D10" s="138"/>
      <c r="E10" s="124">
        <f>'Fotball lagvis'!E13</f>
        <v>0</v>
      </c>
      <c r="F10" s="124">
        <f>'Fotball lagvis'!J13</f>
        <v>0</v>
      </c>
      <c r="G10" s="124">
        <f>'Fotball lagvis'!L13</f>
        <v>0</v>
      </c>
      <c r="H10" s="124">
        <f>'Fotball lagvis'!K13</f>
        <v>400</v>
      </c>
      <c r="I10" s="124">
        <f>'Fotball lagvis'!M13</f>
        <v>0</v>
      </c>
      <c r="J10" s="124">
        <f>'Fotball lagvis'!N13</f>
        <v>0</v>
      </c>
      <c r="L10" s="148"/>
      <c r="M10" s="145"/>
      <c r="N10" s="145"/>
      <c r="O10" s="145"/>
    </row>
    <row r="11" spans="1:15" x14ac:dyDescent="0.25">
      <c r="A11" s="13">
        <v>3925</v>
      </c>
      <c r="B11" s="13" t="s">
        <v>7</v>
      </c>
      <c r="C11" s="170"/>
      <c r="D11" s="138">
        <v>49000</v>
      </c>
      <c r="E11" s="124">
        <f>'Fotball lagvis'!E14</f>
        <v>167800</v>
      </c>
      <c r="F11" s="124">
        <f>'Fotball lagvis'!J14</f>
        <v>237758</v>
      </c>
      <c r="G11" s="124">
        <f>'Fotball lagvis'!L14</f>
        <v>319000</v>
      </c>
      <c r="H11" s="124">
        <f>'Fotball lagvis'!K14</f>
        <v>220803</v>
      </c>
      <c r="I11" s="124">
        <f>'Fotball lagvis'!M14</f>
        <v>219900</v>
      </c>
      <c r="J11" s="124">
        <f>'Fotball lagvis'!N14</f>
        <v>154250</v>
      </c>
      <c r="L11" s="148"/>
      <c r="M11" s="145"/>
      <c r="N11" s="145"/>
      <c r="O11" s="145"/>
    </row>
    <row r="12" spans="1:15" x14ac:dyDescent="0.25">
      <c r="A12" s="13">
        <v>3926</v>
      </c>
      <c r="B12" s="23" t="s">
        <v>13</v>
      </c>
      <c r="C12" s="172"/>
      <c r="D12" s="138"/>
      <c r="E12" s="124">
        <f>'Fotball lagvis'!E15</f>
        <v>0</v>
      </c>
      <c r="F12" s="124">
        <f>'Fotball lagvis'!J15</f>
        <v>0</v>
      </c>
      <c r="G12" s="124">
        <f>'Fotball lagvis'!L15</f>
        <v>0</v>
      </c>
      <c r="H12" s="124">
        <f>'Fotball lagvis'!K15</f>
        <v>0</v>
      </c>
      <c r="I12" s="124">
        <f>'Fotball lagvis'!M15</f>
        <v>0</v>
      </c>
      <c r="J12" s="124">
        <f>'Fotball lagvis'!N15</f>
        <v>0</v>
      </c>
      <c r="L12" s="148"/>
      <c r="M12" s="145"/>
      <c r="N12" s="145"/>
      <c r="O12" s="145"/>
    </row>
    <row r="13" spans="1:15" x14ac:dyDescent="0.25">
      <c r="A13" s="13">
        <v>3950</v>
      </c>
      <c r="B13" s="13" t="s">
        <v>9</v>
      </c>
      <c r="C13" s="170"/>
      <c r="D13" s="138">
        <v>31450</v>
      </c>
      <c r="E13" s="124">
        <f>'Fotball lagvis'!E16</f>
        <v>25500</v>
      </c>
      <c r="F13" s="124">
        <f>'Fotball lagvis'!J16</f>
        <v>26000</v>
      </c>
      <c r="G13" s="124">
        <f>'Fotball lagvis'!L16</f>
        <v>30000</v>
      </c>
      <c r="H13" s="124">
        <f>'Fotball lagvis'!K16</f>
        <v>33395</v>
      </c>
      <c r="I13" s="124">
        <f>'Fotball lagvis'!M16</f>
        <v>26000</v>
      </c>
      <c r="J13" s="124">
        <f>'Fotball lagvis'!N16</f>
        <v>20000</v>
      </c>
      <c r="L13" s="148"/>
      <c r="M13" s="145"/>
      <c r="N13" s="145"/>
      <c r="O13" s="145"/>
    </row>
    <row r="14" spans="1:15" x14ac:dyDescent="0.25">
      <c r="A14" s="13">
        <v>3970</v>
      </c>
      <c r="B14" s="13" t="s">
        <v>10</v>
      </c>
      <c r="C14" s="170"/>
      <c r="D14" s="138">
        <v>25500</v>
      </c>
      <c r="E14" s="124">
        <f>'Fotball lagvis'!E17</f>
        <v>0</v>
      </c>
      <c r="F14" s="124">
        <f>'Fotball lagvis'!J17</f>
        <v>46000</v>
      </c>
      <c r="G14" s="124">
        <f>'Fotball lagvis'!L17</f>
        <v>0</v>
      </c>
      <c r="H14" s="124">
        <f>'Fotball lagvis'!K17</f>
        <v>9000</v>
      </c>
      <c r="I14" s="124">
        <f>'Fotball lagvis'!M17</f>
        <v>21000</v>
      </c>
      <c r="J14" s="124">
        <f>'Fotball lagvis'!N17</f>
        <v>21000</v>
      </c>
      <c r="L14" s="148"/>
      <c r="M14" s="145"/>
      <c r="N14" s="145"/>
      <c r="O14" s="145"/>
    </row>
    <row r="15" spans="1:15" x14ac:dyDescent="0.25">
      <c r="A15" s="13">
        <v>3975</v>
      </c>
      <c r="B15" s="13" t="s">
        <v>11</v>
      </c>
      <c r="C15" s="170"/>
      <c r="D15" s="138">
        <f>32880+80484.55+71090+18035.25+4000+4000</f>
        <v>210489.8</v>
      </c>
      <c r="E15" s="124">
        <f>'Fotball lagvis'!E18</f>
        <v>318545</v>
      </c>
      <c r="F15" s="124">
        <f>'Fotball lagvis'!J18</f>
        <v>604339</v>
      </c>
      <c r="G15" s="124">
        <f>'Fotball lagvis'!L18</f>
        <v>311000</v>
      </c>
      <c r="H15" s="124">
        <f>'Fotball lagvis'!K18</f>
        <v>116124</v>
      </c>
      <c r="I15" s="124">
        <f>'Fotball lagvis'!M18</f>
        <v>123500</v>
      </c>
      <c r="J15" s="124">
        <f>'Fotball lagvis'!N18</f>
        <v>90500</v>
      </c>
      <c r="L15" s="148"/>
      <c r="M15" s="145"/>
      <c r="N15" s="145"/>
      <c r="O15" s="145"/>
    </row>
    <row r="16" spans="1:15" x14ac:dyDescent="0.25">
      <c r="A16" s="13">
        <v>3980</v>
      </c>
      <c r="B16" s="13" t="s">
        <v>12</v>
      </c>
      <c r="C16" s="170"/>
      <c r="D16" s="138"/>
      <c r="E16" s="124">
        <f>'Fotball lagvis'!E19</f>
        <v>0</v>
      </c>
      <c r="F16" s="124">
        <f>'Fotball lagvis'!J19</f>
        <v>0</v>
      </c>
      <c r="G16" s="124">
        <f>'Fotball lagvis'!L19</f>
        <v>0</v>
      </c>
      <c r="H16" s="124">
        <f>'Fotball lagvis'!K19</f>
        <v>0</v>
      </c>
      <c r="I16" s="124">
        <f>'Fotball lagvis'!M19</f>
        <v>0</v>
      </c>
      <c r="J16" s="124">
        <f>'Fotball lagvis'!N19</f>
        <v>0</v>
      </c>
      <c r="L16" s="148"/>
      <c r="M16" s="145"/>
      <c r="N16" s="145"/>
      <c r="O16" s="145"/>
    </row>
    <row r="17" spans="1:15" x14ac:dyDescent="0.25">
      <c r="A17" s="13">
        <v>3990</v>
      </c>
      <c r="B17" s="23" t="s">
        <v>8</v>
      </c>
      <c r="C17" s="172"/>
      <c r="D17" s="138"/>
      <c r="E17" s="124">
        <f>'Fotball lagvis'!E20</f>
        <v>0</v>
      </c>
      <c r="F17" s="124">
        <f>'Fotball lagvis'!J20</f>
        <v>0</v>
      </c>
      <c r="G17" s="124">
        <f>'Fotball lagvis'!L20</f>
        <v>0</v>
      </c>
      <c r="H17" s="124">
        <f>'Fotball lagvis'!K20</f>
        <v>0</v>
      </c>
      <c r="I17" s="124">
        <f>'Fotball lagvis'!M20</f>
        <v>0</v>
      </c>
      <c r="J17" s="124">
        <f>'Fotball lagvis'!N20</f>
        <v>0</v>
      </c>
      <c r="L17" s="148"/>
      <c r="M17" s="145"/>
      <c r="N17" s="145"/>
      <c r="O17" s="145"/>
    </row>
    <row r="18" spans="1:15" x14ac:dyDescent="0.25">
      <c r="A18" s="13"/>
      <c r="B18" s="30" t="s">
        <v>14</v>
      </c>
      <c r="C18" s="173"/>
      <c r="D18" s="140">
        <f>SUM(D4:D17)</f>
        <v>375731.8</v>
      </c>
      <c r="E18" s="31">
        <f>SUM(E4:E17)</f>
        <v>601075</v>
      </c>
      <c r="F18" s="140">
        <f t="shared" ref="F18:H18" si="0">SUM(F4:F17)</f>
        <v>1040392</v>
      </c>
      <c r="G18" s="140">
        <f>SUM(G4:G17)</f>
        <v>740000</v>
      </c>
      <c r="H18" s="140">
        <f t="shared" si="0"/>
        <v>497598</v>
      </c>
      <c r="I18" s="140">
        <f t="shared" ref="I18:J18" si="1">SUM(I4:I17)</f>
        <v>461400</v>
      </c>
      <c r="J18" s="140">
        <f t="shared" si="1"/>
        <v>339250</v>
      </c>
      <c r="L18" s="149"/>
      <c r="M18" s="145"/>
      <c r="N18" s="145"/>
      <c r="O18" s="145"/>
    </row>
    <row r="19" spans="1:15" x14ac:dyDescent="0.25">
      <c r="A19" s="13"/>
      <c r="B19" s="12" t="s">
        <v>15</v>
      </c>
      <c r="C19" s="174"/>
      <c r="D19" s="135"/>
      <c r="E19" s="22"/>
      <c r="F19" s="124"/>
      <c r="G19" s="124"/>
      <c r="H19" s="124"/>
      <c r="I19" s="124"/>
      <c r="J19" s="124"/>
      <c r="L19" s="148"/>
      <c r="M19" s="145"/>
      <c r="N19" s="145"/>
      <c r="O19" s="145"/>
    </row>
    <row r="20" spans="1:15" x14ac:dyDescent="0.25">
      <c r="A20" s="13">
        <v>4210</v>
      </c>
      <c r="B20" s="13" t="s">
        <v>16</v>
      </c>
      <c r="C20" s="170"/>
      <c r="D20" s="135">
        <v>6172</v>
      </c>
      <c r="E20" s="124">
        <f>'Fotball lagvis'!E23</f>
        <v>5280</v>
      </c>
      <c r="F20" s="124">
        <f>'Fotball lagvis'!J23</f>
        <v>5733</v>
      </c>
      <c r="G20" s="124">
        <f>'Fotball lagvis'!L23</f>
        <v>6000</v>
      </c>
      <c r="H20" s="124">
        <f>'Fotball lagvis'!K23</f>
        <v>0</v>
      </c>
      <c r="I20" s="124">
        <f>'Fotball lagvis'!M23</f>
        <v>6000</v>
      </c>
      <c r="J20" s="124">
        <f>'Fotball lagvis'!N23</f>
        <v>6000</v>
      </c>
      <c r="L20" s="148"/>
      <c r="M20" s="145"/>
      <c r="N20" s="145"/>
      <c r="O20" s="145"/>
    </row>
    <row r="21" spans="1:15" x14ac:dyDescent="0.25">
      <c r="A21" s="13">
        <v>4220</v>
      </c>
      <c r="B21" s="13" t="s">
        <v>17</v>
      </c>
      <c r="C21" s="170"/>
      <c r="D21" s="135"/>
      <c r="E21" s="124">
        <f>'Fotball lagvis'!E24</f>
        <v>0</v>
      </c>
      <c r="F21" s="124">
        <f>'Fotball lagvis'!J24</f>
        <v>0</v>
      </c>
      <c r="G21" s="124">
        <f>'Fotball lagvis'!L24</f>
        <v>0</v>
      </c>
      <c r="H21" s="124">
        <f>'Fotball lagvis'!K24</f>
        <v>0</v>
      </c>
      <c r="I21" s="124">
        <f>'Fotball lagvis'!M24</f>
        <v>0</v>
      </c>
      <c r="J21" s="124">
        <f>'Fotball lagvis'!N24</f>
        <v>0</v>
      </c>
      <c r="L21" s="148"/>
      <c r="M21" s="145"/>
      <c r="N21" s="145"/>
      <c r="O21" s="145"/>
    </row>
    <row r="22" spans="1:15" x14ac:dyDescent="0.25">
      <c r="A22" s="13">
        <v>4225</v>
      </c>
      <c r="B22" s="13" t="s">
        <v>19</v>
      </c>
      <c r="C22" s="170"/>
      <c r="D22" s="135">
        <f>2500+23000</f>
        <v>25500</v>
      </c>
      <c r="E22" s="124">
        <f>'Fotball lagvis'!E25</f>
        <v>106114</v>
      </c>
      <c r="F22" s="124">
        <f>'Fotball lagvis'!J25</f>
        <v>81369</v>
      </c>
      <c r="G22" s="124">
        <f>'Fotball lagvis'!L25</f>
        <v>68000</v>
      </c>
      <c r="H22" s="124">
        <f>'Fotball lagvis'!K25</f>
        <v>24990</v>
      </c>
      <c r="I22" s="124">
        <f>'Fotball lagvis'!M25</f>
        <v>8000</v>
      </c>
      <c r="J22" s="124">
        <f>'Fotball lagvis'!N25</f>
        <v>8000</v>
      </c>
      <c r="L22" s="148"/>
      <c r="M22" s="145"/>
      <c r="N22" s="145"/>
      <c r="O22" s="145"/>
    </row>
    <row r="23" spans="1:15" x14ac:dyDescent="0.25">
      <c r="A23" s="13">
        <v>4300</v>
      </c>
      <c r="B23" s="13" t="s">
        <v>18</v>
      </c>
      <c r="C23" s="170"/>
      <c r="D23" s="135"/>
      <c r="E23" s="124">
        <f>'Fotball lagvis'!E26</f>
        <v>0</v>
      </c>
      <c r="F23" s="124">
        <f>'Fotball lagvis'!J26</f>
        <v>0</v>
      </c>
      <c r="G23" s="124">
        <f>'Fotball lagvis'!L26</f>
        <v>0</v>
      </c>
      <c r="H23" s="124">
        <f>'Fotball lagvis'!K26</f>
        <v>0</v>
      </c>
      <c r="I23" s="124">
        <f>'Fotball lagvis'!M26</f>
        <v>0</v>
      </c>
      <c r="J23" s="124">
        <f>'Fotball lagvis'!N26</f>
        <v>0</v>
      </c>
      <c r="L23" s="148"/>
      <c r="M23" s="145"/>
      <c r="N23" s="145"/>
      <c r="O23" s="145"/>
    </row>
    <row r="24" spans="1:15" x14ac:dyDescent="0.25">
      <c r="A24" s="13">
        <v>5000</v>
      </c>
      <c r="B24" s="13" t="s">
        <v>20</v>
      </c>
      <c r="C24" s="170"/>
      <c r="D24" s="135"/>
      <c r="E24" s="124">
        <f>'Fotball lagvis'!E27</f>
        <v>0</v>
      </c>
      <c r="F24" s="124">
        <f>'Fotball lagvis'!J27</f>
        <v>0</v>
      </c>
      <c r="G24" s="124">
        <f>'Fotball lagvis'!L27</f>
        <v>0</v>
      </c>
      <c r="H24" s="124">
        <f>'Fotball lagvis'!K27</f>
        <v>10000</v>
      </c>
      <c r="I24" s="124">
        <f>'Fotball lagvis'!M27</f>
        <v>0</v>
      </c>
      <c r="J24" s="124">
        <f>'Fotball lagvis'!N27</f>
        <v>0</v>
      </c>
      <c r="L24" s="148"/>
      <c r="M24" s="145"/>
      <c r="N24" s="145"/>
      <c r="O24" s="145"/>
    </row>
    <row r="25" spans="1:15" x14ac:dyDescent="0.25">
      <c r="A25" s="13">
        <v>6315</v>
      </c>
      <c r="B25" s="13" t="s">
        <v>22</v>
      </c>
      <c r="C25" s="170"/>
      <c r="D25" s="135"/>
      <c r="E25" s="124">
        <f>'Fotball lagvis'!E28</f>
        <v>0</v>
      </c>
      <c r="F25" s="124">
        <f>'Fotball lagvis'!J28</f>
        <v>0</v>
      </c>
      <c r="G25" s="124">
        <f>'Fotball lagvis'!L28</f>
        <v>0</v>
      </c>
      <c r="H25" s="124">
        <f>'Fotball lagvis'!K28</f>
        <v>0</v>
      </c>
      <c r="I25" s="124">
        <f>'Fotball lagvis'!M28</f>
        <v>0</v>
      </c>
      <c r="J25" s="124">
        <f>'Fotball lagvis'!N28</f>
        <v>0</v>
      </c>
      <c r="L25" s="148"/>
      <c r="M25" s="145"/>
      <c r="N25" s="145"/>
      <c r="O25" s="145"/>
    </row>
    <row r="26" spans="1:15" x14ac:dyDescent="0.25">
      <c r="A26" s="13">
        <v>6316</v>
      </c>
      <c r="B26" s="13" t="s">
        <v>39</v>
      </c>
      <c r="C26" s="170"/>
      <c r="D26" s="135"/>
      <c r="E26" s="124">
        <f>'Fotball lagvis'!E29</f>
        <v>0</v>
      </c>
      <c r="F26" s="124">
        <f>'Fotball lagvis'!J29</f>
        <v>0</v>
      </c>
      <c r="G26" s="124">
        <f>'Fotball lagvis'!L29</f>
        <v>0</v>
      </c>
      <c r="H26" s="124">
        <f>'Fotball lagvis'!K29</f>
        <v>0</v>
      </c>
      <c r="I26" s="124">
        <f>'Fotball lagvis'!M29</f>
        <v>0</v>
      </c>
      <c r="J26" s="124">
        <f>'Fotball lagvis'!N29</f>
        <v>0</v>
      </c>
      <c r="L26" s="148"/>
      <c r="M26" s="145"/>
      <c r="N26" s="145"/>
      <c r="O26" s="145"/>
    </row>
    <row r="27" spans="1:15" x14ac:dyDescent="0.25">
      <c r="A27" s="13">
        <v>6320</v>
      </c>
      <c r="B27" s="13" t="s">
        <v>23</v>
      </c>
      <c r="C27" s="170"/>
      <c r="D27" s="135"/>
      <c r="E27" s="124">
        <f>'Fotball lagvis'!E30</f>
        <v>0</v>
      </c>
      <c r="F27" s="124">
        <f>'Fotball lagvis'!J30</f>
        <v>0</v>
      </c>
      <c r="G27" s="124">
        <f>'Fotball lagvis'!L30</f>
        <v>0</v>
      </c>
      <c r="H27" s="124">
        <f>'Fotball lagvis'!K30</f>
        <v>0</v>
      </c>
      <c r="I27" s="124">
        <f>'Fotball lagvis'!M30</f>
        <v>0</v>
      </c>
      <c r="J27" s="124">
        <f>'Fotball lagvis'!N30</f>
        <v>0</v>
      </c>
      <c r="L27" s="148"/>
      <c r="M27" s="145"/>
      <c r="N27" s="145"/>
      <c r="O27" s="145"/>
    </row>
    <row r="28" spans="1:15" x14ac:dyDescent="0.25">
      <c r="A28" s="13">
        <v>6340</v>
      </c>
      <c r="B28" s="13" t="s">
        <v>41</v>
      </c>
      <c r="C28" s="170"/>
      <c r="D28" s="135"/>
      <c r="E28" s="124">
        <f>'Fotball lagvis'!E31</f>
        <v>0</v>
      </c>
      <c r="F28" s="124">
        <f>'Fotball lagvis'!J31</f>
        <v>0</v>
      </c>
      <c r="G28" s="124">
        <f>'Fotball lagvis'!L31</f>
        <v>0</v>
      </c>
      <c r="H28" s="124">
        <f>'Fotball lagvis'!K31</f>
        <v>0</v>
      </c>
      <c r="I28" s="124">
        <f>'Fotball lagvis'!M31</f>
        <v>0</v>
      </c>
      <c r="J28" s="124">
        <f>'Fotball lagvis'!N31</f>
        <v>0</v>
      </c>
      <c r="L28" s="148"/>
      <c r="M28" s="145"/>
      <c r="N28" s="145"/>
      <c r="O28" s="145"/>
    </row>
    <row r="29" spans="1:15" x14ac:dyDescent="0.25">
      <c r="A29" s="13">
        <v>6340</v>
      </c>
      <c r="B29" s="13" t="s">
        <v>42</v>
      </c>
      <c r="C29" s="170"/>
      <c r="D29" s="135"/>
      <c r="E29" s="124">
        <f>'Fotball lagvis'!E32</f>
        <v>0</v>
      </c>
      <c r="F29" s="124">
        <f>'Fotball lagvis'!J32</f>
        <v>0</v>
      </c>
      <c r="G29" s="124">
        <f>'Fotball lagvis'!L32</f>
        <v>0</v>
      </c>
      <c r="H29" s="124">
        <f>'Fotball lagvis'!K32</f>
        <v>0</v>
      </c>
      <c r="I29" s="124">
        <f>'Fotball lagvis'!M32</f>
        <v>0</v>
      </c>
      <c r="J29" s="124">
        <f>'Fotball lagvis'!N32</f>
        <v>0</v>
      </c>
      <c r="L29" s="148"/>
      <c r="M29" s="145"/>
      <c r="N29" s="145"/>
      <c r="O29" s="145"/>
    </row>
    <row r="30" spans="1:15" x14ac:dyDescent="0.25">
      <c r="A30" s="13">
        <v>6550</v>
      </c>
      <c r="B30" s="13" t="s">
        <v>40</v>
      </c>
      <c r="C30" s="170"/>
      <c r="D30" s="135">
        <f>22360+14524</f>
        <v>36884</v>
      </c>
      <c r="E30" s="124">
        <f>'Fotball lagvis'!E33</f>
        <v>51304</v>
      </c>
      <c r="F30" s="124">
        <f>'Fotball lagvis'!J33</f>
        <v>56414</v>
      </c>
      <c r="G30" s="124">
        <f>'Fotball lagvis'!L33</f>
        <v>45000</v>
      </c>
      <c r="H30" s="124">
        <f>'Fotball lagvis'!K33</f>
        <v>25096</v>
      </c>
      <c r="I30" s="124">
        <f>'Fotball lagvis'!M33</f>
        <v>46000</v>
      </c>
      <c r="J30" s="124">
        <f>'Fotball lagvis'!N33</f>
        <v>31000</v>
      </c>
      <c r="L30" s="148"/>
      <c r="M30" s="145"/>
      <c r="N30" s="145"/>
      <c r="O30" s="145"/>
    </row>
    <row r="31" spans="1:15" x14ac:dyDescent="0.25">
      <c r="A31" s="13">
        <v>6600</v>
      </c>
      <c r="B31" s="13" t="s">
        <v>24</v>
      </c>
      <c r="C31" s="170"/>
      <c r="D31" s="135"/>
      <c r="E31" s="124">
        <f>'Fotball lagvis'!E34</f>
        <v>0</v>
      </c>
      <c r="F31" s="124">
        <f>'Fotball lagvis'!J34</f>
        <v>0</v>
      </c>
      <c r="G31" s="124">
        <f>'Fotball lagvis'!L34</f>
        <v>0</v>
      </c>
      <c r="H31" s="124">
        <f>'Fotball lagvis'!K34</f>
        <v>0</v>
      </c>
      <c r="I31" s="124">
        <f>'Fotball lagvis'!M34</f>
        <v>0</v>
      </c>
      <c r="J31" s="124">
        <f>'Fotball lagvis'!N34</f>
        <v>0</v>
      </c>
      <c r="L31" s="148"/>
      <c r="M31" s="145"/>
      <c r="N31" s="145"/>
      <c r="O31" s="145"/>
    </row>
    <row r="32" spans="1:15" x14ac:dyDescent="0.25">
      <c r="A32" s="13">
        <v>6620</v>
      </c>
      <c r="B32" s="13" t="s">
        <v>25</v>
      </c>
      <c r="C32" s="170"/>
      <c r="D32" s="135"/>
      <c r="E32" s="124">
        <f>'Fotball lagvis'!E35</f>
        <v>0</v>
      </c>
      <c r="F32" s="124">
        <f>'Fotball lagvis'!J35</f>
        <v>1649</v>
      </c>
      <c r="G32" s="124">
        <f>'Fotball lagvis'!L35</f>
        <v>0</v>
      </c>
      <c r="H32" s="124">
        <f>'Fotball lagvis'!K35</f>
        <v>0</v>
      </c>
      <c r="I32" s="124">
        <f>'Fotball lagvis'!M35</f>
        <v>0</v>
      </c>
      <c r="J32" s="124">
        <f>'Fotball lagvis'!N35</f>
        <v>0</v>
      </c>
      <c r="L32" s="148"/>
      <c r="M32" s="145"/>
      <c r="N32" s="145"/>
      <c r="O32" s="145"/>
    </row>
    <row r="33" spans="1:15" x14ac:dyDescent="0.25">
      <c r="A33" s="13">
        <v>6630</v>
      </c>
      <c r="B33" s="13" t="s">
        <v>47</v>
      </c>
      <c r="C33" s="170"/>
      <c r="D33" s="135"/>
      <c r="E33" s="124">
        <f>'Fotball lagvis'!E36</f>
        <v>0</v>
      </c>
      <c r="F33" s="124">
        <f>'Fotball lagvis'!J36</f>
        <v>0</v>
      </c>
      <c r="G33" s="124">
        <f>'Fotball lagvis'!L36</f>
        <v>0</v>
      </c>
      <c r="H33" s="124">
        <f>'Fotball lagvis'!K36</f>
        <v>0</v>
      </c>
      <c r="I33" s="124">
        <f>'Fotball lagvis'!M36</f>
        <v>0</v>
      </c>
      <c r="J33" s="124">
        <f>'Fotball lagvis'!N36</f>
        <v>0</v>
      </c>
      <c r="L33" s="148"/>
      <c r="M33" s="145"/>
      <c r="N33" s="145"/>
      <c r="O33" s="145"/>
    </row>
    <row r="34" spans="1:15" x14ac:dyDescent="0.25">
      <c r="A34" s="13">
        <v>6705</v>
      </c>
      <c r="B34" s="23" t="s">
        <v>28</v>
      </c>
      <c r="C34" s="172"/>
      <c r="D34" s="135"/>
      <c r="E34" s="124">
        <f>'Fotball lagvis'!E37</f>
        <v>0</v>
      </c>
      <c r="F34" s="124">
        <f>'Fotball lagvis'!J37</f>
        <v>0</v>
      </c>
      <c r="G34" s="124">
        <f>'Fotball lagvis'!L37</f>
        <v>0</v>
      </c>
      <c r="H34" s="124">
        <f>'Fotball lagvis'!K37</f>
        <v>0</v>
      </c>
      <c r="I34" s="124">
        <f>'Fotball lagvis'!M37</f>
        <v>0</v>
      </c>
      <c r="J34" s="124">
        <f>'Fotball lagvis'!N37</f>
        <v>0</v>
      </c>
      <c r="L34" s="148"/>
      <c r="M34" s="145"/>
      <c r="N34" s="145"/>
      <c r="O34" s="145"/>
    </row>
    <row r="35" spans="1:15" x14ac:dyDescent="0.25">
      <c r="A35" s="13">
        <v>6800</v>
      </c>
      <c r="B35" s="13" t="s">
        <v>43</v>
      </c>
      <c r="C35" s="170"/>
      <c r="D35" s="135"/>
      <c r="E35" s="124">
        <f>'Fotball lagvis'!E38</f>
        <v>202</v>
      </c>
      <c r="F35" s="124">
        <f>'Fotball lagvis'!J38</f>
        <v>0</v>
      </c>
      <c r="G35" s="124">
        <f>'Fotball lagvis'!L38</f>
        <v>1000</v>
      </c>
      <c r="H35" s="124">
        <f>'Fotball lagvis'!K38</f>
        <v>0</v>
      </c>
      <c r="I35" s="124">
        <f>'Fotball lagvis'!M38</f>
        <v>1000</v>
      </c>
      <c r="J35" s="124">
        <f>'Fotball lagvis'!N38</f>
        <v>0</v>
      </c>
      <c r="L35" s="148"/>
      <c r="M35" s="145"/>
      <c r="N35" s="145"/>
      <c r="O35" s="145"/>
    </row>
    <row r="36" spans="1:15" x14ac:dyDescent="0.25">
      <c r="A36" s="13">
        <v>6840</v>
      </c>
      <c r="B36" s="13" t="s">
        <v>26</v>
      </c>
      <c r="C36" s="170"/>
      <c r="D36" s="135"/>
      <c r="E36" s="124">
        <f>'Fotball lagvis'!E39</f>
        <v>0</v>
      </c>
      <c r="F36" s="124">
        <f>'Fotball lagvis'!J39</f>
        <v>0</v>
      </c>
      <c r="G36" s="124">
        <f>'Fotball lagvis'!L39</f>
        <v>0</v>
      </c>
      <c r="H36" s="124">
        <f>'Fotball lagvis'!K39</f>
        <v>0</v>
      </c>
      <c r="I36" s="124">
        <f>'Fotball lagvis'!M39</f>
        <v>0</v>
      </c>
      <c r="J36" s="124">
        <f>'Fotball lagvis'!N39</f>
        <v>0</v>
      </c>
      <c r="L36" s="148"/>
      <c r="M36" s="145"/>
      <c r="N36" s="145"/>
      <c r="O36" s="145"/>
    </row>
    <row r="37" spans="1:15" x14ac:dyDescent="0.25">
      <c r="A37" s="13">
        <v>6860</v>
      </c>
      <c r="B37" s="13" t="s">
        <v>27</v>
      </c>
      <c r="C37" s="170"/>
      <c r="D37" s="135">
        <f>5031.76+2905</f>
        <v>7936.76</v>
      </c>
      <c r="E37" s="124">
        <f>'Fotball lagvis'!E40</f>
        <v>5282</v>
      </c>
      <c r="F37" s="124">
        <f>'Fotball lagvis'!J40</f>
        <v>0</v>
      </c>
      <c r="G37" s="124">
        <f>'Fotball lagvis'!L40</f>
        <v>6000</v>
      </c>
      <c r="H37" s="124">
        <f>'Fotball lagvis'!K40</f>
        <v>3825.47</v>
      </c>
      <c r="I37" s="124">
        <f>'Fotball lagvis'!M40</f>
        <v>14500</v>
      </c>
      <c r="J37" s="124">
        <f>'Fotball lagvis'!N40</f>
        <v>12500</v>
      </c>
      <c r="L37" s="148"/>
      <c r="M37" s="145"/>
      <c r="N37" s="145"/>
      <c r="O37" s="145"/>
    </row>
    <row r="38" spans="1:15" x14ac:dyDescent="0.25">
      <c r="A38" s="13">
        <v>6900</v>
      </c>
      <c r="B38" s="23" t="s">
        <v>44</v>
      </c>
      <c r="C38" s="172"/>
      <c r="D38" s="135"/>
      <c r="E38" s="124">
        <f>'Fotball lagvis'!E41</f>
        <v>0</v>
      </c>
      <c r="F38" s="124">
        <f>'Fotball lagvis'!J41</f>
        <v>0</v>
      </c>
      <c r="G38" s="124">
        <f>'Fotball lagvis'!L41</f>
        <v>0</v>
      </c>
      <c r="H38" s="124">
        <f>'Fotball lagvis'!K41</f>
        <v>0</v>
      </c>
      <c r="I38" s="124">
        <f>'Fotball lagvis'!M41</f>
        <v>0</v>
      </c>
      <c r="J38" s="124">
        <f>'Fotball lagvis'!N41</f>
        <v>0</v>
      </c>
      <c r="L38" s="148"/>
      <c r="M38" s="145"/>
      <c r="N38" s="145"/>
      <c r="O38" s="145"/>
    </row>
    <row r="39" spans="1:15" x14ac:dyDescent="0.25">
      <c r="A39" s="13">
        <v>6940</v>
      </c>
      <c r="B39" s="13" t="s">
        <v>29</v>
      </c>
      <c r="C39" s="170"/>
      <c r="D39" s="135"/>
      <c r="E39" s="124">
        <f>'Fotball lagvis'!E42</f>
        <v>0</v>
      </c>
      <c r="F39" s="124">
        <f>'Fotball lagvis'!J42</f>
        <v>0</v>
      </c>
      <c r="G39" s="124">
        <f>'Fotball lagvis'!L42</f>
        <v>0</v>
      </c>
      <c r="H39" s="124">
        <f>'Fotball lagvis'!K42</f>
        <v>0</v>
      </c>
      <c r="I39" s="124">
        <f>'Fotball lagvis'!M42</f>
        <v>0</v>
      </c>
      <c r="J39" s="124">
        <f>'Fotball lagvis'!N42</f>
        <v>0</v>
      </c>
      <c r="L39" s="148"/>
      <c r="M39" s="145"/>
      <c r="N39" s="145"/>
      <c r="O39" s="145"/>
    </row>
    <row r="40" spans="1:15" x14ac:dyDescent="0.25">
      <c r="A40" s="13">
        <v>7000</v>
      </c>
      <c r="B40" s="13" t="s">
        <v>48</v>
      </c>
      <c r="C40" s="170"/>
      <c r="D40" s="135"/>
      <c r="E40" s="124">
        <f>'Fotball lagvis'!E43</f>
        <v>0</v>
      </c>
      <c r="F40" s="124">
        <f>'Fotball lagvis'!J43</f>
        <v>0</v>
      </c>
      <c r="G40" s="124">
        <f>'Fotball lagvis'!L43</f>
        <v>0</v>
      </c>
      <c r="H40" s="124">
        <f>'Fotball lagvis'!K43</f>
        <v>0</v>
      </c>
      <c r="I40" s="124">
        <f>'Fotball lagvis'!M43</f>
        <v>0</v>
      </c>
      <c r="J40" s="124">
        <f>'Fotball lagvis'!N43</f>
        <v>0</v>
      </c>
      <c r="L40" s="148"/>
      <c r="M40" s="145"/>
      <c r="N40" s="145"/>
      <c r="O40" s="145"/>
    </row>
    <row r="41" spans="1:15" x14ac:dyDescent="0.25">
      <c r="A41" s="13">
        <v>7140</v>
      </c>
      <c r="B41" s="13" t="s">
        <v>45</v>
      </c>
      <c r="C41" s="170"/>
      <c r="D41" s="135">
        <v>5000</v>
      </c>
      <c r="E41" s="124">
        <f>'Fotball lagvis'!E44</f>
        <v>39441</v>
      </c>
      <c r="F41" s="124">
        <f>'Fotball lagvis'!J44</f>
        <v>73038</v>
      </c>
      <c r="G41" s="124">
        <f>'Fotball lagvis'!L44</f>
        <v>65000</v>
      </c>
      <c r="H41" s="124">
        <f>'Fotball lagvis'!K44</f>
        <v>5000</v>
      </c>
      <c r="I41" s="124">
        <f>'Fotball lagvis'!M44</f>
        <v>30000</v>
      </c>
      <c r="J41" s="124">
        <f>'Fotball lagvis'!N44</f>
        <v>20000</v>
      </c>
      <c r="L41" s="148"/>
      <c r="M41" s="145"/>
      <c r="N41" s="145"/>
      <c r="O41" s="145"/>
    </row>
    <row r="42" spans="1:15" x14ac:dyDescent="0.25">
      <c r="A42" s="13">
        <v>7320</v>
      </c>
      <c r="B42" s="23" t="s">
        <v>30</v>
      </c>
      <c r="C42" s="172"/>
      <c r="D42" s="135"/>
      <c r="E42" s="124">
        <f>'Fotball lagvis'!E45</f>
        <v>0</v>
      </c>
      <c r="F42" s="124">
        <f>'Fotball lagvis'!J45</f>
        <v>0</v>
      </c>
      <c r="G42" s="124">
        <f>'Fotball lagvis'!L45</f>
        <v>0</v>
      </c>
      <c r="H42" s="124">
        <f>'Fotball lagvis'!K45</f>
        <v>0</v>
      </c>
      <c r="I42" s="124">
        <f>'Fotball lagvis'!M45</f>
        <v>0</v>
      </c>
      <c r="J42" s="124">
        <f>'Fotball lagvis'!N45</f>
        <v>0</v>
      </c>
      <c r="L42" s="148"/>
      <c r="M42" s="145"/>
      <c r="N42" s="145"/>
      <c r="O42" s="145"/>
    </row>
    <row r="43" spans="1:15" x14ac:dyDescent="0.25">
      <c r="A43" s="13">
        <v>7400</v>
      </c>
      <c r="B43" s="13" t="s">
        <v>31</v>
      </c>
      <c r="C43" s="170"/>
      <c r="D43" s="135">
        <v>16850</v>
      </c>
      <c r="E43" s="124">
        <f>'Fotball lagvis'!E46</f>
        <v>18500</v>
      </c>
      <c r="F43" s="124">
        <f>'Fotball lagvis'!J46</f>
        <v>48515</v>
      </c>
      <c r="G43" s="124">
        <f>'Fotball lagvis'!L46</f>
        <v>51000</v>
      </c>
      <c r="H43" s="124">
        <f>'Fotball lagvis'!K46</f>
        <v>40850</v>
      </c>
      <c r="I43" s="124">
        <f>'Fotball lagvis'!M46</f>
        <v>54199</v>
      </c>
      <c r="J43" s="124">
        <f>'Fotball lagvis'!N46</f>
        <v>42600</v>
      </c>
      <c r="L43" s="148"/>
      <c r="M43" s="145"/>
      <c r="N43" s="145"/>
      <c r="O43" s="145"/>
    </row>
    <row r="44" spans="1:15" x14ac:dyDescent="0.25">
      <c r="A44" s="13">
        <v>7420</v>
      </c>
      <c r="B44" s="13" t="s">
        <v>12</v>
      </c>
      <c r="C44" s="170"/>
      <c r="D44" s="135"/>
      <c r="E44" s="124">
        <f>'Fotball lagvis'!E47</f>
        <v>5400</v>
      </c>
      <c r="F44" s="124">
        <f>'Fotball lagvis'!J47</f>
        <v>2130</v>
      </c>
      <c r="G44" s="124">
        <f>'Fotball lagvis'!L47</f>
        <v>6000</v>
      </c>
      <c r="H44" s="124">
        <f>'Fotball lagvis'!K47</f>
        <v>13999</v>
      </c>
      <c r="I44" s="124">
        <f>'Fotball lagvis'!M47</f>
        <v>6000</v>
      </c>
      <c r="J44" s="124">
        <f>'Fotball lagvis'!N47</f>
        <v>7000</v>
      </c>
      <c r="L44" s="148"/>
      <c r="M44" s="145"/>
      <c r="N44" s="145"/>
      <c r="O44" s="145"/>
    </row>
    <row r="45" spans="1:15" x14ac:dyDescent="0.25">
      <c r="A45" s="13">
        <v>7500</v>
      </c>
      <c r="B45" s="13" t="s">
        <v>21</v>
      </c>
      <c r="C45" s="170"/>
      <c r="D45" s="135"/>
      <c r="E45" s="124">
        <f>'Fotball lagvis'!E48</f>
        <v>0</v>
      </c>
      <c r="F45" s="124">
        <f>'Fotball lagvis'!J48</f>
        <v>0</v>
      </c>
      <c r="G45" s="124">
        <f>'Fotball lagvis'!L48</f>
        <v>0</v>
      </c>
      <c r="H45" s="124">
        <f>'Fotball lagvis'!K48</f>
        <v>11100</v>
      </c>
      <c r="I45" s="124">
        <f>'Fotball lagvis'!M48</f>
        <v>11000</v>
      </c>
      <c r="J45" s="124">
        <f>'Fotball lagvis'!N48</f>
        <v>10500</v>
      </c>
      <c r="L45" s="148"/>
      <c r="M45" s="145"/>
      <c r="N45" s="145"/>
      <c r="O45" s="145"/>
    </row>
    <row r="46" spans="1:15" s="144" customFormat="1" x14ac:dyDescent="0.25">
      <c r="A46" s="13">
        <v>7745</v>
      </c>
      <c r="B46" s="13" t="s">
        <v>92</v>
      </c>
      <c r="C46" s="170"/>
      <c r="D46" s="135"/>
      <c r="E46" s="124">
        <f>'Fotball lagvis'!E49</f>
        <v>3740</v>
      </c>
      <c r="F46" s="124">
        <f>'Fotball lagvis'!J49</f>
        <v>3500</v>
      </c>
      <c r="G46" s="124">
        <f>'Fotball lagvis'!L49</f>
        <v>34000</v>
      </c>
      <c r="H46" s="124">
        <f>'Fotball lagvis'!K49</f>
        <v>3080</v>
      </c>
      <c r="I46" s="124">
        <f>'Fotball lagvis'!M49</f>
        <v>4000</v>
      </c>
      <c r="J46" s="124">
        <f>'Fotball lagvis'!N49</f>
        <v>4000</v>
      </c>
      <c r="L46" s="148"/>
      <c r="M46" s="145"/>
      <c r="N46" s="145"/>
      <c r="O46" s="145"/>
    </row>
    <row r="47" spans="1:15" x14ac:dyDescent="0.25">
      <c r="A47" s="13">
        <v>7750</v>
      </c>
      <c r="B47" s="13" t="s">
        <v>32</v>
      </c>
      <c r="C47" s="170"/>
      <c r="D47" s="135">
        <f>92854.99+30470.54+2400+62886</f>
        <v>188611.53</v>
      </c>
      <c r="E47" s="124">
        <f>'Fotball lagvis'!E50</f>
        <v>271607</v>
      </c>
      <c r="F47" s="124">
        <f>'Fotball lagvis'!J50</f>
        <v>620583</v>
      </c>
      <c r="G47" s="124">
        <f>'Fotball lagvis'!L50</f>
        <v>311000</v>
      </c>
      <c r="H47" s="124">
        <f>'Fotball lagvis'!K50</f>
        <v>229212.79999999999</v>
      </c>
      <c r="I47" s="124">
        <f>'Fotball lagvis'!M50</f>
        <v>192900</v>
      </c>
      <c r="J47" s="124">
        <f>'Fotball lagvis'!N50</f>
        <v>123000</v>
      </c>
      <c r="L47" s="148"/>
      <c r="M47" s="145"/>
      <c r="N47" s="145"/>
      <c r="O47" s="145"/>
    </row>
    <row r="48" spans="1:15" x14ac:dyDescent="0.25">
      <c r="A48" s="13">
        <v>7755</v>
      </c>
      <c r="B48" s="13" t="s">
        <v>33</v>
      </c>
      <c r="C48" s="170"/>
      <c r="D48" s="135">
        <f>7321+4275</f>
        <v>11596</v>
      </c>
      <c r="E48" s="124">
        <f>'Fotball lagvis'!E51</f>
        <v>46298</v>
      </c>
      <c r="F48" s="124">
        <f>'Fotball lagvis'!J51</f>
        <v>123425</v>
      </c>
      <c r="G48" s="124">
        <f>'Fotball lagvis'!L51</f>
        <v>145000</v>
      </c>
      <c r="H48" s="124">
        <f>'Fotball lagvis'!K51</f>
        <v>88055.6</v>
      </c>
      <c r="I48" s="124">
        <f>'Fotball lagvis'!M51</f>
        <v>68600</v>
      </c>
      <c r="J48" s="124">
        <f>'Fotball lagvis'!N51</f>
        <v>47750</v>
      </c>
      <c r="L48" s="148"/>
      <c r="M48" s="145"/>
      <c r="N48" s="145"/>
      <c r="O48" s="145"/>
    </row>
    <row r="49" spans="1:15" x14ac:dyDescent="0.25">
      <c r="A49" s="13">
        <v>7770</v>
      </c>
      <c r="B49" s="13" t="s">
        <v>88</v>
      </c>
      <c r="C49" s="170"/>
      <c r="D49" s="135">
        <f>54.9+30</f>
        <v>84.9</v>
      </c>
      <c r="E49" s="124">
        <f>'Fotball lagvis'!E52</f>
        <v>60</v>
      </c>
      <c r="F49" s="124">
        <f>'Fotball lagvis'!J52</f>
        <v>90</v>
      </c>
      <c r="G49" s="124">
        <f>'Fotball lagvis'!L52</f>
        <v>0</v>
      </c>
      <c r="H49" s="124">
        <f>'Fotball lagvis'!K52</f>
        <v>0</v>
      </c>
      <c r="I49" s="124">
        <f>'Fotball lagvis'!M52</f>
        <v>0</v>
      </c>
      <c r="J49" s="124">
        <f>'Fotball lagvis'!N52</f>
        <v>0</v>
      </c>
      <c r="L49" s="148"/>
      <c r="M49" s="145"/>
      <c r="N49" s="145"/>
      <c r="O49" s="145"/>
    </row>
    <row r="50" spans="1:15" x14ac:dyDescent="0.25">
      <c r="A50" s="13">
        <v>7790</v>
      </c>
      <c r="B50" s="13" t="s">
        <v>34</v>
      </c>
      <c r="C50" s="170"/>
      <c r="D50" s="135"/>
      <c r="E50" s="124">
        <f>'Fotball lagvis'!E53</f>
        <v>1800</v>
      </c>
      <c r="F50" s="124">
        <f>'Fotball lagvis'!J53</f>
        <v>-750</v>
      </c>
      <c r="G50" s="124">
        <f>'Fotball lagvis'!L53</f>
        <v>0</v>
      </c>
      <c r="H50" s="124">
        <f>'Fotball lagvis'!K53</f>
        <v>445</v>
      </c>
      <c r="I50" s="124">
        <f>'Fotball lagvis'!M53</f>
        <v>6000</v>
      </c>
      <c r="J50" s="124">
        <f>'Fotball lagvis'!N53</f>
        <v>1000</v>
      </c>
      <c r="L50" s="148"/>
      <c r="M50" s="145"/>
      <c r="N50" s="145"/>
      <c r="O50" s="145"/>
    </row>
    <row r="51" spans="1:15" x14ac:dyDescent="0.25">
      <c r="A51" s="13">
        <v>6010</v>
      </c>
      <c r="B51" s="23" t="s">
        <v>35</v>
      </c>
      <c r="C51" s="172"/>
      <c r="D51" s="135"/>
      <c r="E51" s="124">
        <f>'Fotball lagvis'!E54</f>
        <v>0</v>
      </c>
      <c r="F51" s="124">
        <f>'Fotball lagvis'!J54</f>
        <v>0</v>
      </c>
      <c r="G51" s="124">
        <f>'Fotball lagvis'!L54</f>
        <v>0</v>
      </c>
      <c r="H51" s="124">
        <f>'Fotball lagvis'!K54</f>
        <v>0</v>
      </c>
      <c r="I51" s="124">
        <f>'Fotball lagvis'!M54</f>
        <v>0</v>
      </c>
      <c r="J51" s="124">
        <f>'Fotball lagvis'!N54</f>
        <v>0</v>
      </c>
      <c r="L51" s="148"/>
      <c r="M51" s="145"/>
      <c r="N51" s="145"/>
      <c r="O51" s="145"/>
    </row>
    <row r="52" spans="1:15" x14ac:dyDescent="0.25">
      <c r="A52" s="13"/>
      <c r="B52" s="26" t="s">
        <v>36</v>
      </c>
      <c r="C52" s="169"/>
      <c r="D52" s="141">
        <f>SUM(D20:D51)</f>
        <v>298635.19</v>
      </c>
      <c r="E52" s="32">
        <f>SUM(E20:E51)</f>
        <v>555028</v>
      </c>
      <c r="F52" s="141">
        <f t="shared" ref="F52:H52" si="2">SUM(F20:F51)</f>
        <v>1015696</v>
      </c>
      <c r="G52" s="141">
        <f>SUM(G20:G51)</f>
        <v>738000</v>
      </c>
      <c r="H52" s="141">
        <f t="shared" si="2"/>
        <v>455653.87</v>
      </c>
      <c r="I52" s="141">
        <f t="shared" ref="I52:J52" si="3">SUM(I20:I51)</f>
        <v>448199</v>
      </c>
      <c r="J52" s="141">
        <f t="shared" si="3"/>
        <v>313350</v>
      </c>
      <c r="L52" s="148"/>
      <c r="M52" s="145"/>
      <c r="N52" s="145"/>
      <c r="O52" s="145"/>
    </row>
    <row r="53" spans="1:15" x14ac:dyDescent="0.25">
      <c r="A53" s="13"/>
      <c r="B53" s="33"/>
      <c r="C53" s="175"/>
      <c r="D53" s="139"/>
      <c r="E53" s="29"/>
      <c r="F53" s="124"/>
      <c r="G53" s="124"/>
      <c r="H53" s="124"/>
      <c r="I53" s="124"/>
      <c r="J53" s="124"/>
      <c r="L53" s="148"/>
      <c r="M53" s="145"/>
      <c r="N53" s="145"/>
      <c r="O53" s="145"/>
    </row>
    <row r="54" spans="1:15" x14ac:dyDescent="0.25">
      <c r="A54" s="13"/>
      <c r="B54" s="26" t="s">
        <v>38</v>
      </c>
      <c r="C54" s="169"/>
      <c r="D54" s="141">
        <f>(D18-D52)</f>
        <v>77096.609999999986</v>
      </c>
      <c r="E54" s="32">
        <f>(E18-E52)</f>
        <v>46047</v>
      </c>
      <c r="F54" s="141">
        <f t="shared" ref="F54:H54" si="4">(F18-F52)</f>
        <v>24696</v>
      </c>
      <c r="G54" s="141">
        <f>(G18-G52)</f>
        <v>2000</v>
      </c>
      <c r="H54" s="141">
        <f t="shared" si="4"/>
        <v>41944.130000000005</v>
      </c>
      <c r="I54" s="141">
        <f t="shared" ref="I54:J54" si="5">(I18-I52)</f>
        <v>13201</v>
      </c>
      <c r="J54" s="141">
        <f t="shared" si="5"/>
        <v>25900</v>
      </c>
      <c r="L54" s="148"/>
      <c r="M54" s="145"/>
      <c r="N54" s="145"/>
      <c r="O54" s="145"/>
    </row>
    <row r="55" spans="1:15" x14ac:dyDescent="0.25">
      <c r="A55" s="23"/>
      <c r="B55" s="23"/>
      <c r="C55" s="172"/>
      <c r="D55" s="136"/>
      <c r="E55" s="23"/>
      <c r="F55" s="137"/>
      <c r="G55" s="137"/>
      <c r="H55" s="137"/>
      <c r="I55" s="137"/>
      <c r="J55" s="137"/>
      <c r="L55" s="148"/>
      <c r="M55" s="145"/>
      <c r="N55" s="145"/>
      <c r="O55" s="145"/>
    </row>
    <row r="56" spans="1:15" x14ac:dyDescent="0.25">
      <c r="A56" s="23"/>
      <c r="B56" s="24" t="s">
        <v>49</v>
      </c>
      <c r="C56" s="176"/>
      <c r="D56" s="137"/>
      <c r="E56" s="25"/>
      <c r="F56" s="137"/>
      <c r="G56" s="137"/>
      <c r="H56" s="137"/>
      <c r="I56" s="137"/>
      <c r="J56" s="137"/>
      <c r="L56" s="148"/>
      <c r="M56" s="145"/>
      <c r="N56" s="145"/>
      <c r="O56" s="145"/>
    </row>
    <row r="57" spans="1:15" x14ac:dyDescent="0.25">
      <c r="A57" s="23"/>
      <c r="B57" s="23" t="s">
        <v>50</v>
      </c>
      <c r="C57" s="172"/>
      <c r="D57" s="137">
        <f>47.46+1.05</f>
        <v>48.51</v>
      </c>
      <c r="E57" s="25">
        <v>67</v>
      </c>
      <c r="F57" s="137">
        <v>71</v>
      </c>
      <c r="G57" s="137"/>
      <c r="H57" s="137">
        <f>'Fotball lagvis'!K60</f>
        <v>0</v>
      </c>
      <c r="I57" s="137"/>
      <c r="J57" s="137"/>
      <c r="L57" s="148"/>
      <c r="M57" s="145"/>
      <c r="N57" s="145"/>
      <c r="O57" s="145"/>
    </row>
    <row r="58" spans="1:15" x14ac:dyDescent="0.25">
      <c r="A58" s="23"/>
      <c r="B58" s="23" t="s">
        <v>52</v>
      </c>
      <c r="C58" s="172"/>
      <c r="D58" s="137"/>
      <c r="E58" s="25"/>
      <c r="F58" s="137">
        <f>'Fotball lagvis'!J61</f>
        <v>0</v>
      </c>
      <c r="G58" s="137"/>
      <c r="H58" s="137">
        <f>'Fotball lagvis'!K61</f>
        <v>0</v>
      </c>
      <c r="I58" s="137"/>
      <c r="J58" s="137"/>
      <c r="L58" s="148"/>
      <c r="M58" s="145"/>
      <c r="N58" s="145"/>
      <c r="O58" s="145"/>
    </row>
    <row r="59" spans="1:15" x14ac:dyDescent="0.25">
      <c r="A59" s="23"/>
      <c r="B59" s="34" t="s">
        <v>53</v>
      </c>
      <c r="C59" s="177"/>
      <c r="D59" s="142">
        <f t="shared" ref="D59" si="6">D57-D58</f>
        <v>48.51</v>
      </c>
      <c r="E59" s="35">
        <f t="shared" ref="E59:I59" si="7">E57-E58</f>
        <v>67</v>
      </c>
      <c r="F59" s="142">
        <f t="shared" ref="F59:H59" si="8">F57-F58</f>
        <v>71</v>
      </c>
      <c r="G59" s="142">
        <f>G57-G58</f>
        <v>0</v>
      </c>
      <c r="H59" s="142">
        <f t="shared" si="8"/>
        <v>0</v>
      </c>
      <c r="I59" s="142">
        <f t="shared" si="7"/>
        <v>0</v>
      </c>
      <c r="J59" s="142"/>
      <c r="L59" s="145"/>
      <c r="M59" s="145"/>
      <c r="N59" s="145"/>
      <c r="O59" s="145"/>
    </row>
    <row r="60" spans="1:15" x14ac:dyDescent="0.25">
      <c r="A60" s="23"/>
      <c r="B60" s="23"/>
      <c r="C60" s="172"/>
      <c r="D60" s="137"/>
      <c r="E60" s="25"/>
      <c r="F60" s="137"/>
      <c r="G60" s="137"/>
      <c r="H60" s="137"/>
      <c r="I60" s="137"/>
      <c r="J60" s="137"/>
      <c r="L60" s="145"/>
      <c r="M60" s="145"/>
      <c r="N60" s="145"/>
      <c r="O60" s="145"/>
    </row>
    <row r="61" spans="1:15" x14ac:dyDescent="0.25">
      <c r="A61" s="23"/>
      <c r="B61" s="36" t="s">
        <v>37</v>
      </c>
      <c r="C61" s="178"/>
      <c r="D61" s="143">
        <f t="shared" ref="D61" si="9">D54+D59</f>
        <v>77145.119999999981</v>
      </c>
      <c r="E61" s="37">
        <f t="shared" ref="E61:J61" si="10">E54+E59</f>
        <v>46114</v>
      </c>
      <c r="F61" s="143">
        <f t="shared" ref="F61:H61" si="11">F54+F59</f>
        <v>24767</v>
      </c>
      <c r="G61" s="143">
        <f>G54+G59</f>
        <v>2000</v>
      </c>
      <c r="H61" s="143">
        <f t="shared" si="11"/>
        <v>41944.130000000005</v>
      </c>
      <c r="I61" s="143">
        <f t="shared" si="10"/>
        <v>13201</v>
      </c>
      <c r="J61" s="143">
        <f t="shared" si="10"/>
        <v>25900</v>
      </c>
      <c r="L61" s="145"/>
      <c r="M61" s="145"/>
      <c r="N61" s="145"/>
      <c r="O61" s="145"/>
    </row>
    <row r="63" spans="1:15" x14ac:dyDescent="0.25">
      <c r="B63" s="115" t="s">
        <v>87</v>
      </c>
      <c r="C63" s="115"/>
    </row>
    <row r="64" spans="1:15" x14ac:dyDescent="0.25">
      <c r="B64" t="s">
        <v>111</v>
      </c>
    </row>
  </sheetData>
  <pageMargins left="0.7" right="0.7" top="0.75" bottom="0.75" header="0.3" footer="0.3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K70"/>
  <sheetViews>
    <sheetView zoomScale="110" zoomScaleNormal="110" workbookViewId="0">
      <pane xSplit="3" ySplit="6" topLeftCell="J48" activePane="bottomRight" state="frozen"/>
      <selection pane="topRight" activeCell="D1" sqref="D1"/>
      <selection pane="bottomLeft" activeCell="A7" sqref="A7"/>
      <selection pane="bottomRight" activeCell="K10" sqref="K10"/>
    </sheetView>
  </sheetViews>
  <sheetFormatPr baseColWidth="10" defaultRowHeight="15" x14ac:dyDescent="0.25"/>
  <cols>
    <col min="1" max="1" width="1.7109375" customWidth="1"/>
    <col min="2" max="2" width="6.28515625" customWidth="1"/>
    <col min="3" max="3" width="25.7109375" customWidth="1"/>
    <col min="4" max="4" width="15.28515625" customWidth="1"/>
    <col min="5" max="5" width="14.28515625" customWidth="1"/>
    <col min="6" max="6" width="14.28515625" style="144" hidden="1" customWidth="1"/>
    <col min="7" max="7" width="7.85546875" style="144" hidden="1" customWidth="1"/>
    <col min="8" max="8" width="8.28515625" style="144" hidden="1" customWidth="1"/>
    <col min="9" max="9" width="14.28515625" style="144" hidden="1" customWidth="1"/>
    <col min="10" max="10" width="15.7109375" style="144" bestFit="1" customWidth="1"/>
    <col min="11" max="11" width="15.7109375" style="144" customWidth="1"/>
    <col min="12" max="14" width="15.28515625" style="144" customWidth="1"/>
    <col min="15" max="15" width="1.28515625" style="144" customWidth="1"/>
    <col min="16" max="19" width="12.42578125" style="144" customWidth="1"/>
    <col min="20" max="28" width="11.140625" style="144" customWidth="1"/>
    <col min="29" max="29" width="12.7109375" style="144" bestFit="1" customWidth="1"/>
    <col min="30" max="30" width="12.28515625" style="144" bestFit="1" customWidth="1"/>
    <col min="31" max="33" width="12.28515625" style="144" customWidth="1"/>
  </cols>
  <sheetData>
    <row r="2" spans="2:34" ht="23.25" x14ac:dyDescent="0.35">
      <c r="B2" s="144"/>
      <c r="C2" s="1" t="s">
        <v>158</v>
      </c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2:34" s="144" customFormat="1" ht="17.45" customHeight="1" thickBot="1" x14ac:dyDescent="0.4">
      <c r="C3" s="1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2:34" ht="17.45" customHeight="1" thickBot="1" x14ac:dyDescent="0.4">
      <c r="B4" s="144"/>
      <c r="C4" s="1"/>
      <c r="D4" s="188"/>
      <c r="E4" s="189" t="s">
        <v>159</v>
      </c>
      <c r="F4" s="186"/>
      <c r="G4" s="186"/>
      <c r="H4" s="186"/>
      <c r="I4" s="186"/>
      <c r="J4" s="186"/>
      <c r="K4" s="186"/>
      <c r="L4" s="187" t="s">
        <v>108</v>
      </c>
      <c r="M4" s="214" t="s">
        <v>128</v>
      </c>
      <c r="N4" s="214" t="s">
        <v>160</v>
      </c>
      <c r="O4" s="3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212"/>
      <c r="AF4" s="33"/>
      <c r="AG4" s="3"/>
      <c r="AH4" s="3"/>
    </row>
    <row r="5" spans="2:34" s="144" customFormat="1" ht="10.15" customHeight="1" x14ac:dyDescent="0.35">
      <c r="C5" s="1"/>
      <c r="D5" s="2"/>
      <c r="E5" s="3"/>
      <c r="F5" s="3"/>
      <c r="G5" s="3"/>
      <c r="H5" s="3"/>
      <c r="I5" s="3"/>
      <c r="J5" s="3"/>
      <c r="K5" s="3"/>
      <c r="L5" s="3"/>
      <c r="M5" s="3"/>
      <c r="N5" s="215"/>
      <c r="O5" s="3"/>
      <c r="P5" s="3"/>
      <c r="Q5" s="3"/>
      <c r="R5" s="215"/>
      <c r="S5" s="3"/>
      <c r="T5" s="3"/>
      <c r="U5" s="3"/>
      <c r="V5" s="3"/>
      <c r="W5" s="3"/>
      <c r="X5" s="215"/>
      <c r="Y5" s="3"/>
      <c r="Z5" s="3"/>
      <c r="AA5" s="3"/>
      <c r="AB5" s="215"/>
      <c r="AC5" s="3"/>
      <c r="AD5" s="3"/>
      <c r="AE5" s="3"/>
      <c r="AF5" s="33"/>
      <c r="AG5" s="215"/>
      <c r="AH5" s="3"/>
    </row>
    <row r="6" spans="2:34" ht="21" customHeight="1" x14ac:dyDescent="0.25">
      <c r="B6" s="27" t="s">
        <v>0</v>
      </c>
      <c r="C6" s="26" t="s">
        <v>1</v>
      </c>
      <c r="D6" s="27" t="s">
        <v>89</v>
      </c>
      <c r="E6" s="27" t="s">
        <v>112</v>
      </c>
      <c r="F6" s="27" t="s">
        <v>95</v>
      </c>
      <c r="G6" s="27" t="s">
        <v>93</v>
      </c>
      <c r="H6" s="27" t="s">
        <v>94</v>
      </c>
      <c r="I6" s="27" t="s">
        <v>89</v>
      </c>
      <c r="J6" s="27" t="s">
        <v>136</v>
      </c>
      <c r="K6" s="27" t="s">
        <v>138</v>
      </c>
      <c r="L6" s="27" t="s">
        <v>108</v>
      </c>
      <c r="M6" s="27" t="s">
        <v>128</v>
      </c>
      <c r="N6" s="27" t="s">
        <v>160</v>
      </c>
      <c r="O6" s="27"/>
      <c r="P6" s="27" t="s">
        <v>148</v>
      </c>
      <c r="Q6" s="27" t="s">
        <v>131</v>
      </c>
      <c r="R6" s="27" t="s">
        <v>161</v>
      </c>
      <c r="S6" s="27" t="s">
        <v>162</v>
      </c>
      <c r="T6" s="27" t="s">
        <v>149</v>
      </c>
      <c r="U6" s="27" t="s">
        <v>132</v>
      </c>
      <c r="V6" s="27" t="s">
        <v>157</v>
      </c>
      <c r="W6" s="27" t="s">
        <v>156</v>
      </c>
      <c r="X6" s="27" t="s">
        <v>163</v>
      </c>
      <c r="Y6" s="27" t="s">
        <v>164</v>
      </c>
      <c r="Z6" s="27" t="s">
        <v>154</v>
      </c>
      <c r="AA6" s="27" t="s">
        <v>155</v>
      </c>
      <c r="AB6" s="181" t="s">
        <v>165</v>
      </c>
      <c r="AC6" s="181" t="s">
        <v>134</v>
      </c>
      <c r="AD6" s="181" t="s">
        <v>135</v>
      </c>
      <c r="AE6" s="181" t="s">
        <v>133</v>
      </c>
      <c r="AF6" s="181" t="s">
        <v>153</v>
      </c>
      <c r="AG6" s="27" t="s">
        <v>166</v>
      </c>
      <c r="AH6" s="147"/>
    </row>
    <row r="7" spans="2:34" x14ac:dyDescent="0.25">
      <c r="B7" s="13">
        <v>3110</v>
      </c>
      <c r="C7" s="13" t="s">
        <v>2</v>
      </c>
      <c r="D7" s="138"/>
      <c r="E7" s="138">
        <v>0</v>
      </c>
      <c r="F7" s="138" t="e">
        <f>I7+L7+#REF!+#REF!+#REF!</f>
        <v>#REF!</v>
      </c>
      <c r="G7" s="138" t="e">
        <f>J7+O7+#REF!+#REF!+#REF!</f>
        <v>#REF!</v>
      </c>
      <c r="H7" s="138" t="e">
        <f>L7+#REF!+#REF!+#REF!+#REF!</f>
        <v>#REF!</v>
      </c>
      <c r="I7" s="138" t="e">
        <f>O7+#REF!+#REF!+#REF!+#REF!</f>
        <v>#REF!</v>
      </c>
      <c r="J7" s="138">
        <v>0</v>
      </c>
      <c r="K7" s="138">
        <f t="shared" ref="K7:K13" si="0">Q7+U7+V7+AA7+AA7+AE7</f>
        <v>0</v>
      </c>
      <c r="L7" s="138"/>
      <c r="M7" s="138">
        <f t="shared" ref="M7:M20" si="1">P7+T7+W7+Z7+AF7</f>
        <v>0</v>
      </c>
      <c r="N7" s="138">
        <f>R7+X7+AB7+AG7</f>
        <v>0</v>
      </c>
      <c r="O7" s="138"/>
      <c r="P7" s="203"/>
      <c r="Q7" s="203"/>
      <c r="R7" s="203"/>
      <c r="S7" s="203"/>
      <c r="T7" s="124"/>
      <c r="U7" s="124"/>
      <c r="V7" s="124"/>
      <c r="W7" s="124"/>
      <c r="X7" s="124"/>
      <c r="Y7" s="124"/>
      <c r="Z7" s="124"/>
      <c r="AA7" s="124"/>
      <c r="AB7" s="182"/>
      <c r="AC7" s="182"/>
      <c r="AD7" s="182"/>
      <c r="AE7" s="182"/>
      <c r="AF7" s="182"/>
      <c r="AG7" s="124"/>
      <c r="AH7" s="207"/>
    </row>
    <row r="8" spans="2:34" x14ac:dyDescent="0.25">
      <c r="B8" s="13">
        <v>3115</v>
      </c>
      <c r="C8" s="13" t="s">
        <v>3</v>
      </c>
      <c r="D8" s="138"/>
      <c r="E8" s="138">
        <v>0</v>
      </c>
      <c r="F8" s="138"/>
      <c r="G8" s="138"/>
      <c r="H8" s="138"/>
      <c r="I8" s="138">
        <f t="shared" ref="I8" si="2">SUM(F8:H8)</f>
        <v>0</v>
      </c>
      <c r="J8" s="138">
        <v>0</v>
      </c>
      <c r="K8" s="138">
        <f t="shared" si="0"/>
        <v>0</v>
      </c>
      <c r="L8" s="138"/>
      <c r="M8" s="138">
        <f t="shared" si="1"/>
        <v>0</v>
      </c>
      <c r="N8" s="138">
        <f t="shared" ref="N8:N20" si="3">R8+X8+AB8+AG8</f>
        <v>0</v>
      </c>
      <c r="O8" s="138"/>
      <c r="P8" s="203"/>
      <c r="Q8" s="203"/>
      <c r="R8" s="203"/>
      <c r="S8" s="203"/>
      <c r="T8" s="124"/>
      <c r="U8" s="124"/>
      <c r="V8" s="124"/>
      <c r="W8" s="124"/>
      <c r="X8" s="124"/>
      <c r="Y8" s="124"/>
      <c r="Z8" s="124"/>
      <c r="AA8" s="124"/>
      <c r="AB8" s="182"/>
      <c r="AC8" s="182"/>
      <c r="AD8" s="182"/>
      <c r="AE8" s="182"/>
      <c r="AF8" s="182"/>
      <c r="AG8" s="124"/>
      <c r="AH8" s="207"/>
    </row>
    <row r="9" spans="2:34" x14ac:dyDescent="0.25">
      <c r="B9" s="13">
        <v>3400</v>
      </c>
      <c r="C9" s="9" t="s">
        <v>114</v>
      </c>
      <c r="D9" s="138">
        <v>59292</v>
      </c>
      <c r="E9" s="138">
        <v>86480</v>
      </c>
      <c r="F9" s="138" t="e">
        <f>I9+L9+#REF!+#REF!+#REF!</f>
        <v>#REF!</v>
      </c>
      <c r="G9" s="138" t="e">
        <f>J9+O9+#REF!+#REF!+#REF!</f>
        <v>#REF!</v>
      </c>
      <c r="H9" s="138" t="e">
        <f>L9+#REF!+#REF!+#REF!+#REF!</f>
        <v>#REF!</v>
      </c>
      <c r="I9" s="138" t="e">
        <f>O9+#REF!+#REF!+#REF!+#REF!</f>
        <v>#REF!</v>
      </c>
      <c r="J9" s="138">
        <v>126295</v>
      </c>
      <c r="K9" s="138">
        <f>Q9+U9+V9+AA9+AE9</f>
        <v>117876</v>
      </c>
      <c r="L9" s="138">
        <v>80000</v>
      </c>
      <c r="M9" s="138">
        <f t="shared" si="1"/>
        <v>71000</v>
      </c>
      <c r="N9" s="138">
        <f t="shared" si="3"/>
        <v>53500</v>
      </c>
      <c r="O9" s="138"/>
      <c r="P9" s="203">
        <v>35000</v>
      </c>
      <c r="Q9" s="203">
        <v>45841</v>
      </c>
      <c r="R9" s="203">
        <f>700*(16+10+12+7)</f>
        <v>31500</v>
      </c>
      <c r="S9" s="203"/>
      <c r="T9" s="124">
        <v>12000</v>
      </c>
      <c r="U9" s="124">
        <v>21283</v>
      </c>
      <c r="V9" s="124">
        <v>19646</v>
      </c>
      <c r="W9" s="124">
        <v>12000</v>
      </c>
      <c r="X9" s="124">
        <v>12000</v>
      </c>
      <c r="Y9" s="124"/>
      <c r="Z9" s="124">
        <v>12000</v>
      </c>
      <c r="AA9" s="124">
        <v>18009</v>
      </c>
      <c r="AB9" s="182">
        <v>10000</v>
      </c>
      <c r="AC9" s="182"/>
      <c r="AD9" s="182"/>
      <c r="AE9" s="182">
        <v>13097</v>
      </c>
      <c r="AF9" s="182"/>
      <c r="AG9" s="124"/>
      <c r="AH9" s="207"/>
    </row>
    <row r="10" spans="2:34" x14ac:dyDescent="0.25">
      <c r="B10" s="13">
        <v>3440</v>
      </c>
      <c r="C10" s="13" t="s">
        <v>55</v>
      </c>
      <c r="D10" s="138"/>
      <c r="E10" s="138">
        <v>0</v>
      </c>
      <c r="F10" s="138"/>
      <c r="G10" s="138"/>
      <c r="H10" s="138"/>
      <c r="I10" s="138">
        <f t="shared" ref="I10:I20" si="4">SUM(F10:H10)</f>
        <v>0</v>
      </c>
      <c r="J10" s="138">
        <v>0</v>
      </c>
      <c r="K10" s="138">
        <f t="shared" si="0"/>
        <v>0</v>
      </c>
      <c r="L10" s="138"/>
      <c r="M10" s="138">
        <f t="shared" si="1"/>
        <v>0</v>
      </c>
      <c r="N10" s="138">
        <f t="shared" si="3"/>
        <v>0</v>
      </c>
      <c r="O10" s="138"/>
      <c r="P10" s="203"/>
      <c r="Q10" s="203"/>
      <c r="R10" s="203"/>
      <c r="S10" s="203"/>
      <c r="T10" s="124"/>
      <c r="U10" s="124"/>
      <c r="V10" s="124"/>
      <c r="W10" s="124"/>
      <c r="X10" s="124"/>
      <c r="Y10" s="124"/>
      <c r="Z10" s="124"/>
      <c r="AA10" s="124"/>
      <c r="AB10" s="182"/>
      <c r="AC10" s="182"/>
      <c r="AD10" s="182"/>
      <c r="AE10" s="182"/>
      <c r="AF10" s="182"/>
      <c r="AG10" s="124"/>
      <c r="AH10" s="207"/>
    </row>
    <row r="11" spans="2:34" x14ac:dyDescent="0.25">
      <c r="B11" s="13">
        <v>3605</v>
      </c>
      <c r="C11" s="13" t="s">
        <v>5</v>
      </c>
      <c r="D11" s="138"/>
      <c r="E11" s="138">
        <v>0</v>
      </c>
      <c r="F11" s="138"/>
      <c r="G11" s="138"/>
      <c r="H11" s="138"/>
      <c r="I11" s="138">
        <f t="shared" si="4"/>
        <v>0</v>
      </c>
      <c r="J11" s="138">
        <v>0</v>
      </c>
      <c r="K11" s="138">
        <f t="shared" si="0"/>
        <v>0</v>
      </c>
      <c r="L11" s="138"/>
      <c r="M11" s="138">
        <f t="shared" si="1"/>
        <v>0</v>
      </c>
      <c r="N11" s="138">
        <f t="shared" si="3"/>
        <v>0</v>
      </c>
      <c r="O11" s="138"/>
      <c r="P11" s="203"/>
      <c r="Q11" s="203"/>
      <c r="R11" s="203"/>
      <c r="S11" s="203"/>
      <c r="T11" s="124"/>
      <c r="U11" s="124"/>
      <c r="V11" s="124"/>
      <c r="W11" s="124"/>
      <c r="X11" s="124"/>
      <c r="Y11" s="124"/>
      <c r="Z11" s="124"/>
      <c r="AA11" s="124"/>
      <c r="AB11" s="182"/>
      <c r="AC11" s="182"/>
      <c r="AD11" s="182"/>
      <c r="AE11" s="182"/>
      <c r="AF11" s="182"/>
      <c r="AG11" s="124"/>
      <c r="AH11" s="207"/>
    </row>
    <row r="12" spans="2:34" x14ac:dyDescent="0.25">
      <c r="B12" s="13">
        <v>3620</v>
      </c>
      <c r="C12" s="136" t="s">
        <v>91</v>
      </c>
      <c r="D12" s="138"/>
      <c r="E12" s="138">
        <v>2750</v>
      </c>
      <c r="F12" s="138"/>
      <c r="G12" s="138"/>
      <c r="H12" s="138"/>
      <c r="I12" s="138">
        <f t="shared" si="4"/>
        <v>0</v>
      </c>
      <c r="J12" s="138">
        <v>0</v>
      </c>
      <c r="K12" s="138">
        <f t="shared" si="0"/>
        <v>0</v>
      </c>
      <c r="L12" s="138"/>
      <c r="M12" s="138">
        <f t="shared" si="1"/>
        <v>0</v>
      </c>
      <c r="N12" s="138">
        <f t="shared" si="3"/>
        <v>0</v>
      </c>
      <c r="O12" s="138"/>
      <c r="P12" s="203"/>
      <c r="Q12" s="203"/>
      <c r="R12" s="203"/>
      <c r="S12" s="203"/>
      <c r="T12" s="124"/>
      <c r="U12" s="124"/>
      <c r="V12" s="124"/>
      <c r="W12" s="124"/>
      <c r="X12" s="124"/>
      <c r="Y12" s="124"/>
      <c r="Z12" s="124"/>
      <c r="AA12" s="124"/>
      <c r="AB12" s="182"/>
      <c r="AC12" s="182"/>
      <c r="AD12" s="182"/>
      <c r="AE12" s="182"/>
      <c r="AF12" s="182"/>
      <c r="AG12" s="124"/>
      <c r="AH12" s="207"/>
    </row>
    <row r="13" spans="2:34" x14ac:dyDescent="0.25">
      <c r="B13" s="13">
        <v>3920</v>
      </c>
      <c r="C13" s="13" t="s">
        <v>6</v>
      </c>
      <c r="D13" s="138"/>
      <c r="E13" s="138">
        <v>0</v>
      </c>
      <c r="F13" s="138"/>
      <c r="G13" s="138"/>
      <c r="H13" s="138"/>
      <c r="I13" s="138">
        <f t="shared" si="4"/>
        <v>0</v>
      </c>
      <c r="J13" s="138">
        <v>0</v>
      </c>
      <c r="K13" s="138">
        <f t="shared" si="0"/>
        <v>400</v>
      </c>
      <c r="L13" s="138"/>
      <c r="M13" s="138">
        <f t="shared" si="1"/>
        <v>0</v>
      </c>
      <c r="N13" s="138">
        <f t="shared" si="3"/>
        <v>0</v>
      </c>
      <c r="O13" s="138"/>
      <c r="P13" s="203"/>
      <c r="Q13" s="203"/>
      <c r="R13" s="203"/>
      <c r="S13" s="203"/>
      <c r="T13" s="124"/>
      <c r="U13" s="124">
        <v>0</v>
      </c>
      <c r="V13" s="124">
        <v>0</v>
      </c>
      <c r="W13" s="124"/>
      <c r="X13" s="124"/>
      <c r="Y13" s="124"/>
      <c r="Z13" s="124"/>
      <c r="AA13" s="124">
        <v>200</v>
      </c>
      <c r="AB13" s="182"/>
      <c r="AC13" s="182"/>
      <c r="AD13" s="182"/>
      <c r="AE13" s="182"/>
      <c r="AF13" s="182"/>
      <c r="AG13" s="124"/>
      <c r="AH13" s="207"/>
    </row>
    <row r="14" spans="2:34" x14ac:dyDescent="0.25">
      <c r="B14" s="13">
        <v>3925</v>
      </c>
      <c r="C14" s="13" t="s">
        <v>7</v>
      </c>
      <c r="D14" s="138">
        <v>49000</v>
      </c>
      <c r="E14" s="138">
        <v>167800</v>
      </c>
      <c r="F14" s="138">
        <v>8000</v>
      </c>
      <c r="G14" s="138"/>
      <c r="H14" s="138">
        <v>41000</v>
      </c>
      <c r="I14" s="138">
        <f t="shared" si="4"/>
        <v>49000</v>
      </c>
      <c r="J14" s="138">
        <v>237758</v>
      </c>
      <c r="K14" s="138">
        <f>Q14+U14+V14+AA14+AE14</f>
        <v>220803</v>
      </c>
      <c r="L14" s="138">
        <v>319000</v>
      </c>
      <c r="M14" s="138">
        <f t="shared" si="1"/>
        <v>219900</v>
      </c>
      <c r="N14" s="138">
        <f t="shared" si="3"/>
        <v>154250</v>
      </c>
      <c r="O14" s="138"/>
      <c r="P14" s="203">
        <v>43000</v>
      </c>
      <c r="Q14" s="203">
        <f>3250+7150+4550+6400+1950+9750+10400-2100</f>
        <v>41350</v>
      </c>
      <c r="R14" s="203">
        <f>650*45</f>
        <v>29250</v>
      </c>
      <c r="S14" s="203"/>
      <c r="T14" s="124">
        <f>13000+13000</f>
        <v>26000</v>
      </c>
      <c r="U14" s="124">
        <v>24400</v>
      </c>
      <c r="V14" s="124">
        <v>10300</v>
      </c>
      <c r="W14" s="124">
        <v>0</v>
      </c>
      <c r="X14" s="124"/>
      <c r="Y14" s="124"/>
      <c r="Z14" s="124">
        <v>75000</v>
      </c>
      <c r="AA14" s="124">
        <f>91000-9297</f>
        <v>81703</v>
      </c>
      <c r="AB14" s="182">
        <v>60000</v>
      </c>
      <c r="AC14" s="182">
        <f>4800*20</f>
        <v>96000</v>
      </c>
      <c r="AD14" s="182">
        <v>90000</v>
      </c>
      <c r="AE14" s="182">
        <v>63050</v>
      </c>
      <c r="AF14" s="182">
        <f>23*3300</f>
        <v>75900</v>
      </c>
      <c r="AG14" s="124">
        <v>65000</v>
      </c>
      <c r="AH14" s="207"/>
    </row>
    <row r="15" spans="2:34" x14ac:dyDescent="0.25">
      <c r="B15" s="13">
        <v>3926</v>
      </c>
      <c r="C15" s="136" t="s">
        <v>13</v>
      </c>
      <c r="D15" s="138"/>
      <c r="E15" s="138">
        <v>0</v>
      </c>
      <c r="F15" s="138"/>
      <c r="G15" s="138"/>
      <c r="H15" s="138"/>
      <c r="I15" s="138">
        <f t="shared" si="4"/>
        <v>0</v>
      </c>
      <c r="J15" s="138">
        <v>0</v>
      </c>
      <c r="K15" s="138"/>
      <c r="L15" s="138"/>
      <c r="M15" s="138">
        <f t="shared" si="1"/>
        <v>0</v>
      </c>
      <c r="N15" s="138">
        <f t="shared" si="3"/>
        <v>0</v>
      </c>
      <c r="O15" s="138"/>
      <c r="P15" s="203"/>
      <c r="Q15" s="203"/>
      <c r="R15" s="203"/>
      <c r="S15" s="203"/>
      <c r="T15" s="124"/>
      <c r="U15" s="124"/>
      <c r="V15" s="124"/>
      <c r="W15" s="124"/>
      <c r="X15" s="124"/>
      <c r="Y15" s="124"/>
      <c r="Z15" s="124"/>
      <c r="AA15" s="124"/>
      <c r="AB15" s="182"/>
      <c r="AC15" s="182"/>
      <c r="AD15" s="182"/>
      <c r="AE15" s="182"/>
      <c r="AF15" s="182"/>
      <c r="AG15" s="124"/>
      <c r="AH15" s="207"/>
    </row>
    <row r="16" spans="2:34" x14ac:dyDescent="0.25">
      <c r="B16" s="13">
        <v>3950</v>
      </c>
      <c r="C16" s="13" t="s">
        <v>9</v>
      </c>
      <c r="D16" s="138">
        <v>31450</v>
      </c>
      <c r="E16" s="138">
        <v>25500</v>
      </c>
      <c r="F16" s="138"/>
      <c r="G16" s="138"/>
      <c r="H16" s="138">
        <v>31450</v>
      </c>
      <c r="I16" s="138">
        <f t="shared" si="4"/>
        <v>31450</v>
      </c>
      <c r="J16" s="138">
        <v>26000</v>
      </c>
      <c r="K16" s="138">
        <f>Q16+U16+V16+AA16+AE16</f>
        <v>33395</v>
      </c>
      <c r="L16" s="138">
        <v>30000</v>
      </c>
      <c r="M16" s="138">
        <f t="shared" si="1"/>
        <v>26000</v>
      </c>
      <c r="N16" s="138">
        <f t="shared" si="3"/>
        <v>20000</v>
      </c>
      <c r="O16" s="138"/>
      <c r="P16" s="203">
        <v>26000</v>
      </c>
      <c r="Q16" s="203">
        <f>28600</f>
        <v>28600</v>
      </c>
      <c r="R16" s="203">
        <v>20000</v>
      </c>
      <c r="S16" s="203"/>
      <c r="T16" s="124"/>
      <c r="U16" s="124">
        <v>4795</v>
      </c>
      <c r="V16" s="124"/>
      <c r="W16" s="124"/>
      <c r="X16" s="124"/>
      <c r="Y16" s="124"/>
      <c r="Z16" s="124"/>
      <c r="AA16" s="124"/>
      <c r="AB16" s="182"/>
      <c r="AC16" s="182"/>
      <c r="AD16" s="182"/>
      <c r="AE16" s="182"/>
      <c r="AF16" s="182"/>
      <c r="AG16" s="124"/>
      <c r="AH16" s="207"/>
    </row>
    <row r="17" spans="2:34" x14ac:dyDescent="0.25">
      <c r="B17" s="13">
        <v>3970</v>
      </c>
      <c r="C17" s="13" t="s">
        <v>10</v>
      </c>
      <c r="D17" s="138">
        <v>25500</v>
      </c>
      <c r="E17" s="138">
        <v>0</v>
      </c>
      <c r="F17" s="138">
        <v>25500</v>
      </c>
      <c r="G17" s="138"/>
      <c r="H17" s="138"/>
      <c r="I17" s="138">
        <f t="shared" si="4"/>
        <v>25500</v>
      </c>
      <c r="J17" s="138">
        <v>46000</v>
      </c>
      <c r="K17" s="138">
        <f>Q17+U17+V17+AA17+AE17</f>
        <v>9000</v>
      </c>
      <c r="L17" s="138"/>
      <c r="M17" s="138">
        <f t="shared" si="1"/>
        <v>21000</v>
      </c>
      <c r="N17" s="138">
        <f t="shared" si="3"/>
        <v>21000</v>
      </c>
      <c r="O17" s="138"/>
      <c r="P17" s="203"/>
      <c r="Q17" s="203"/>
      <c r="R17" s="203"/>
      <c r="S17" s="203"/>
      <c r="T17" s="124"/>
      <c r="U17" s="124">
        <v>-3000</v>
      </c>
      <c r="V17" s="124">
        <v>3000</v>
      </c>
      <c r="W17" s="124">
        <v>6000</v>
      </c>
      <c r="X17" s="124">
        <v>6000</v>
      </c>
      <c r="Y17" s="124"/>
      <c r="Z17" s="124">
        <v>15000</v>
      </c>
      <c r="AA17" s="124">
        <v>9000</v>
      </c>
      <c r="AB17" s="182">
        <v>15000</v>
      </c>
      <c r="AC17" s="182"/>
      <c r="AD17" s="182"/>
      <c r="AE17" s="182"/>
      <c r="AF17" s="182"/>
      <c r="AG17" s="124"/>
      <c r="AH17" s="207"/>
    </row>
    <row r="18" spans="2:34" x14ac:dyDescent="0.25">
      <c r="B18" s="13">
        <v>3975</v>
      </c>
      <c r="C18" s="13" t="s">
        <v>11</v>
      </c>
      <c r="D18" s="138">
        <f>32880+80484.55+71090+18035.25+4000+4000</f>
        <v>210489.8</v>
      </c>
      <c r="E18" s="138">
        <v>318545</v>
      </c>
      <c r="F18" s="138">
        <v>80484.55</v>
      </c>
      <c r="G18" s="138">
        <v>71090</v>
      </c>
      <c r="H18" s="138">
        <f>32880+18035.25+4000+4000</f>
        <v>58915.25</v>
      </c>
      <c r="I18" s="138">
        <f t="shared" si="4"/>
        <v>210489.8</v>
      </c>
      <c r="J18" s="138">
        <v>604339</v>
      </c>
      <c r="K18" s="138">
        <f>Q18+U18+V18+AA18+AE18</f>
        <v>116124</v>
      </c>
      <c r="L18" s="138">
        <v>311000</v>
      </c>
      <c r="M18" s="138">
        <f t="shared" si="1"/>
        <v>123500</v>
      </c>
      <c r="N18" s="138">
        <f t="shared" si="3"/>
        <v>90500</v>
      </c>
      <c r="O18" s="138"/>
      <c r="P18" s="203">
        <v>35000</v>
      </c>
      <c r="Q18" s="203">
        <f>33885+1500+2000</f>
        <v>37385</v>
      </c>
      <c r="R18" s="203">
        <f>9000+15000+10000</f>
        <v>34000</v>
      </c>
      <c r="S18" s="203"/>
      <c r="T18" s="124">
        <f>6000+20000</f>
        <v>26000</v>
      </c>
      <c r="U18" s="124">
        <v>24861</v>
      </c>
      <c r="V18" s="124">
        <f>56650-7150</f>
        <v>49500</v>
      </c>
      <c r="W18" s="124">
        <v>41500</v>
      </c>
      <c r="X18" s="124">
        <v>41500</v>
      </c>
      <c r="Y18" s="124"/>
      <c r="Z18" s="124">
        <v>15000</v>
      </c>
      <c r="AA18" s="124">
        <f>34045-34045</f>
        <v>0</v>
      </c>
      <c r="AB18" s="182">
        <v>15000</v>
      </c>
      <c r="AC18" s="182">
        <v>7000</v>
      </c>
      <c r="AD18" s="182">
        <v>0</v>
      </c>
      <c r="AE18" s="182">
        <v>4378</v>
      </c>
      <c r="AF18" s="182">
        <v>6000</v>
      </c>
      <c r="AG18" s="124"/>
      <c r="AH18" s="207"/>
    </row>
    <row r="19" spans="2:34" x14ac:dyDescent="0.25">
      <c r="B19" s="13">
        <v>3980</v>
      </c>
      <c r="C19" s="13" t="s">
        <v>12</v>
      </c>
      <c r="D19" s="138"/>
      <c r="E19" s="138">
        <v>0</v>
      </c>
      <c r="F19" s="138"/>
      <c r="G19" s="138"/>
      <c r="H19" s="138"/>
      <c r="I19" s="138">
        <f t="shared" si="4"/>
        <v>0</v>
      </c>
      <c r="J19" s="138">
        <v>0</v>
      </c>
      <c r="K19" s="138">
        <f>Q19+U19+V19+AA19+AA19+AE19</f>
        <v>0</v>
      </c>
      <c r="L19" s="138"/>
      <c r="M19" s="138">
        <f t="shared" si="1"/>
        <v>0</v>
      </c>
      <c r="N19" s="138">
        <f t="shared" si="3"/>
        <v>0</v>
      </c>
      <c r="O19" s="138"/>
      <c r="P19" s="203"/>
      <c r="Q19" s="203"/>
      <c r="R19" s="203"/>
      <c r="S19" s="203"/>
      <c r="T19" s="124"/>
      <c r="U19" s="124"/>
      <c r="V19" s="124"/>
      <c r="W19" s="124"/>
      <c r="X19" s="124"/>
      <c r="Y19" s="124"/>
      <c r="Z19" s="124"/>
      <c r="AA19" s="124"/>
      <c r="AB19" s="182"/>
      <c r="AC19" s="182"/>
      <c r="AD19" s="182"/>
      <c r="AE19" s="182"/>
      <c r="AF19" s="182"/>
      <c r="AG19" s="124"/>
      <c r="AH19" s="207"/>
    </row>
    <row r="20" spans="2:34" x14ac:dyDescent="0.25">
      <c r="B20" s="13">
        <v>3990</v>
      </c>
      <c r="C20" s="136" t="s">
        <v>8</v>
      </c>
      <c r="D20" s="138"/>
      <c r="E20" s="138">
        <v>0</v>
      </c>
      <c r="F20" s="138"/>
      <c r="G20" s="138"/>
      <c r="H20" s="138"/>
      <c r="I20" s="138">
        <f t="shared" si="4"/>
        <v>0</v>
      </c>
      <c r="J20" s="138">
        <v>0</v>
      </c>
      <c r="K20" s="138">
        <f>Q20+U20+V20+AA20+AA20+AE20</f>
        <v>0</v>
      </c>
      <c r="L20" s="138"/>
      <c r="M20" s="138">
        <f t="shared" si="1"/>
        <v>0</v>
      </c>
      <c r="N20" s="138">
        <f t="shared" si="3"/>
        <v>0</v>
      </c>
      <c r="O20" s="138"/>
      <c r="P20" s="203"/>
      <c r="Q20" s="203"/>
      <c r="R20" s="203"/>
      <c r="S20" s="203"/>
      <c r="T20" s="124"/>
      <c r="U20" s="124"/>
      <c r="V20" s="124"/>
      <c r="W20" s="124"/>
      <c r="X20" s="124"/>
      <c r="Y20" s="124"/>
      <c r="Z20" s="124"/>
      <c r="AA20" s="124"/>
      <c r="AB20" s="182"/>
      <c r="AC20" s="182"/>
      <c r="AD20" s="182"/>
      <c r="AE20" s="182"/>
      <c r="AF20" s="182"/>
      <c r="AG20" s="124"/>
      <c r="AH20" s="207"/>
    </row>
    <row r="21" spans="2:34" x14ac:dyDescent="0.25">
      <c r="B21" s="13"/>
      <c r="C21" s="26" t="s">
        <v>14</v>
      </c>
      <c r="D21" s="141">
        <f>SUM(D7:D20)</f>
        <v>375731.8</v>
      </c>
      <c r="E21" s="141">
        <f>SUM(E7:E20)</f>
        <v>601075</v>
      </c>
      <c r="F21" s="141" t="e">
        <f t="shared" ref="F21:N21" si="5">SUM(F7:F20)</f>
        <v>#REF!</v>
      </c>
      <c r="G21" s="141" t="e">
        <f t="shared" si="5"/>
        <v>#REF!</v>
      </c>
      <c r="H21" s="141" t="e">
        <f t="shared" si="5"/>
        <v>#REF!</v>
      </c>
      <c r="I21" s="141" t="e">
        <f t="shared" si="5"/>
        <v>#REF!</v>
      </c>
      <c r="J21" s="141">
        <f t="shared" si="5"/>
        <v>1040392</v>
      </c>
      <c r="K21" s="141">
        <f>SUM(K7:K20)</f>
        <v>497598</v>
      </c>
      <c r="L21" s="141">
        <f t="shared" si="5"/>
        <v>740000</v>
      </c>
      <c r="M21" s="141">
        <f t="shared" si="5"/>
        <v>461400</v>
      </c>
      <c r="N21" s="141">
        <f t="shared" si="5"/>
        <v>339250</v>
      </c>
      <c r="O21" s="141"/>
      <c r="P21" s="141">
        <f>SUM(P7:P20)</f>
        <v>139000</v>
      </c>
      <c r="Q21" s="141">
        <f>SUM(Q7:Q20)</f>
        <v>153176</v>
      </c>
      <c r="R21" s="141">
        <f t="shared" ref="R21:S21" si="6">SUM(R7:R20)</f>
        <v>114750</v>
      </c>
      <c r="S21" s="141">
        <f t="shared" si="6"/>
        <v>0</v>
      </c>
      <c r="T21" s="141">
        <f t="shared" ref="T21:Y21" si="7">SUM(T7:T20)</f>
        <v>64000</v>
      </c>
      <c r="U21" s="141">
        <f t="shared" si="7"/>
        <v>72339</v>
      </c>
      <c r="V21" s="141">
        <f t="shared" si="7"/>
        <v>82446</v>
      </c>
      <c r="W21" s="141">
        <f t="shared" si="7"/>
        <v>59500</v>
      </c>
      <c r="X21" s="141">
        <f t="shared" si="7"/>
        <v>59500</v>
      </c>
      <c r="Y21" s="141">
        <f t="shared" si="7"/>
        <v>0</v>
      </c>
      <c r="Z21" s="141">
        <f t="shared" ref="Z21:AG21" si="8">SUM(Z7:Z20)</f>
        <v>117000</v>
      </c>
      <c r="AA21" s="141">
        <f t="shared" si="8"/>
        <v>108912</v>
      </c>
      <c r="AB21" s="141">
        <f t="shared" si="8"/>
        <v>100000</v>
      </c>
      <c r="AC21" s="183">
        <f t="shared" ref="AC21" si="9">SUM(AC7:AC20)</f>
        <v>103000</v>
      </c>
      <c r="AD21" s="183">
        <f t="shared" si="8"/>
        <v>90000</v>
      </c>
      <c r="AE21" s="183">
        <f>SUM(AE7:AE20)</f>
        <v>80525</v>
      </c>
      <c r="AF21" s="183">
        <f t="shared" si="8"/>
        <v>81900</v>
      </c>
      <c r="AG21" s="183">
        <f t="shared" si="8"/>
        <v>65000</v>
      </c>
      <c r="AH21" s="208"/>
    </row>
    <row r="22" spans="2:34" x14ac:dyDescent="0.25">
      <c r="B22" s="13"/>
      <c r="C22" s="12" t="s">
        <v>15</v>
      </c>
      <c r="D22" s="135"/>
      <c r="E22" s="135"/>
      <c r="F22" s="135"/>
      <c r="G22" s="135"/>
      <c r="H22" s="135"/>
      <c r="I22" s="135"/>
      <c r="J22" s="135"/>
      <c r="K22" s="138"/>
      <c r="L22" s="135"/>
      <c r="M22" s="135"/>
      <c r="N22" s="135"/>
      <c r="O22" s="135"/>
      <c r="P22" s="201"/>
      <c r="Q22" s="201"/>
      <c r="R22" s="201"/>
      <c r="S22" s="201"/>
      <c r="T22" s="124"/>
      <c r="U22" s="124"/>
      <c r="V22" s="124"/>
      <c r="W22" s="124"/>
      <c r="X22" s="124"/>
      <c r="Y22" s="124"/>
      <c r="Z22" s="124"/>
      <c r="AA22" s="124"/>
      <c r="AB22" s="182"/>
      <c r="AC22" s="182">
        <f>SUM(O22:W22)</f>
        <v>0</v>
      </c>
      <c r="AD22" s="182"/>
      <c r="AE22" s="182"/>
      <c r="AF22" s="182"/>
      <c r="AG22" s="124"/>
      <c r="AH22" s="126"/>
    </row>
    <row r="23" spans="2:34" x14ac:dyDescent="0.25">
      <c r="B23" s="13">
        <v>4210</v>
      </c>
      <c r="C23" s="13" t="s">
        <v>16</v>
      </c>
      <c r="D23" s="135">
        <v>6172</v>
      </c>
      <c r="E23" s="138">
        <v>5280</v>
      </c>
      <c r="F23" s="138" t="e">
        <f>I23+L23+#REF!+#REF!+#REF!</f>
        <v>#REF!</v>
      </c>
      <c r="G23" s="138" t="e">
        <f>J23+O23+#REF!+#REF!+#REF!</f>
        <v>#REF!</v>
      </c>
      <c r="H23" s="138" t="e">
        <f>L23+#REF!+#REF!+#REF!+#REF!</f>
        <v>#REF!</v>
      </c>
      <c r="I23" s="138" t="e">
        <f>O23+#REF!+#REF!+#REF!+#REF!</f>
        <v>#REF!</v>
      </c>
      <c r="J23" s="138">
        <v>5733</v>
      </c>
      <c r="K23" s="138">
        <f t="shared" ref="K23:K54" si="10">Q23+U23+V23+AA23+AE23</f>
        <v>0</v>
      </c>
      <c r="L23" s="138">
        <v>6000</v>
      </c>
      <c r="M23" s="138">
        <f t="shared" ref="M23:M54" si="11">P23+T23+W23+Z23+AF23</f>
        <v>6000</v>
      </c>
      <c r="N23" s="138">
        <f t="shared" ref="N23:N54" si="12">R23+X23+AB23+AG23</f>
        <v>6000</v>
      </c>
      <c r="O23" s="135"/>
      <c r="P23" s="201">
        <v>6000</v>
      </c>
      <c r="Q23" s="201"/>
      <c r="R23" s="201">
        <v>6000</v>
      </c>
      <c r="S23" s="201"/>
      <c r="T23" s="124"/>
      <c r="U23" s="124"/>
      <c r="V23" s="124"/>
      <c r="W23" s="124"/>
      <c r="X23" s="124"/>
      <c r="Y23" s="124"/>
      <c r="Z23" s="124"/>
      <c r="AA23" s="124"/>
      <c r="AB23" s="182"/>
      <c r="AC23" s="182"/>
      <c r="AD23" s="182"/>
      <c r="AE23" s="182"/>
      <c r="AF23" s="182"/>
      <c r="AG23" s="124"/>
      <c r="AH23" s="126"/>
    </row>
    <row r="24" spans="2:34" x14ac:dyDescent="0.25">
      <c r="B24" s="13">
        <v>4220</v>
      </c>
      <c r="C24" s="13" t="s">
        <v>17</v>
      </c>
      <c r="D24" s="135"/>
      <c r="E24" s="138">
        <v>0</v>
      </c>
      <c r="F24" s="135"/>
      <c r="G24" s="135"/>
      <c r="H24" s="135"/>
      <c r="I24" s="135">
        <f t="shared" ref="I24:I54" si="13">SUM(F24:H24)</f>
        <v>0</v>
      </c>
      <c r="J24" s="138">
        <v>0</v>
      </c>
      <c r="K24" s="138">
        <f t="shared" si="10"/>
        <v>0</v>
      </c>
      <c r="L24" s="138"/>
      <c r="M24" s="138">
        <f t="shared" si="11"/>
        <v>0</v>
      </c>
      <c r="N24" s="138">
        <f t="shared" si="12"/>
        <v>0</v>
      </c>
      <c r="O24" s="135"/>
      <c r="P24" s="201"/>
      <c r="Q24" s="201"/>
      <c r="R24" s="201"/>
      <c r="S24" s="201"/>
      <c r="T24" s="124"/>
      <c r="U24" s="124"/>
      <c r="V24" s="124"/>
      <c r="W24" s="124"/>
      <c r="X24" s="124"/>
      <c r="Y24" s="124"/>
      <c r="Z24" s="124"/>
      <c r="AA24" s="124"/>
      <c r="AB24" s="182"/>
      <c r="AC24" s="182"/>
      <c r="AD24" s="182"/>
      <c r="AE24" s="182"/>
      <c r="AF24" s="182"/>
      <c r="AG24" s="124"/>
      <c r="AH24" s="126"/>
    </row>
    <row r="25" spans="2:34" x14ac:dyDescent="0.25">
      <c r="B25" s="13">
        <v>4225</v>
      </c>
      <c r="C25" s="13" t="s">
        <v>19</v>
      </c>
      <c r="D25" s="135">
        <f>2500+23000</f>
        <v>25500</v>
      </c>
      <c r="E25" s="138">
        <v>106114</v>
      </c>
      <c r="F25" s="135">
        <v>2500</v>
      </c>
      <c r="G25" s="135">
        <v>23000</v>
      </c>
      <c r="H25" s="135"/>
      <c r="I25" s="135">
        <f t="shared" si="13"/>
        <v>25500</v>
      </c>
      <c r="J25" s="138">
        <v>81369</v>
      </c>
      <c r="K25" s="138">
        <f t="shared" si="10"/>
        <v>24990</v>
      </c>
      <c r="L25" s="138">
        <v>68000</v>
      </c>
      <c r="M25" s="138">
        <f t="shared" si="11"/>
        <v>8000</v>
      </c>
      <c r="N25" s="138">
        <f t="shared" si="12"/>
        <v>8000</v>
      </c>
      <c r="O25" s="135"/>
      <c r="P25" s="201">
        <v>8000</v>
      </c>
      <c r="Q25" s="201"/>
      <c r="R25" s="201">
        <v>8000</v>
      </c>
      <c r="S25" s="201"/>
      <c r="T25" s="124"/>
      <c r="U25" s="124"/>
      <c r="V25" s="124">
        <v>24990</v>
      </c>
      <c r="W25" s="124"/>
      <c r="X25" s="124"/>
      <c r="Y25" s="124"/>
      <c r="Z25" s="124"/>
      <c r="AA25" s="124"/>
      <c r="AB25" s="182"/>
      <c r="AC25" s="182"/>
      <c r="AD25" s="182"/>
      <c r="AE25" s="182"/>
      <c r="AF25" s="182"/>
      <c r="AG25" s="124"/>
      <c r="AH25" s="126"/>
    </row>
    <row r="26" spans="2:34" x14ac:dyDescent="0.25">
      <c r="B26" s="13">
        <v>4300</v>
      </c>
      <c r="C26" s="13" t="s">
        <v>18</v>
      </c>
      <c r="D26" s="135"/>
      <c r="E26" s="138">
        <v>0</v>
      </c>
      <c r="F26" s="135"/>
      <c r="G26" s="135"/>
      <c r="H26" s="135"/>
      <c r="I26" s="135">
        <f t="shared" si="13"/>
        <v>0</v>
      </c>
      <c r="J26" s="138">
        <v>0</v>
      </c>
      <c r="K26" s="138">
        <f t="shared" si="10"/>
        <v>0</v>
      </c>
      <c r="L26" s="138"/>
      <c r="M26" s="138">
        <f t="shared" si="11"/>
        <v>0</v>
      </c>
      <c r="N26" s="138">
        <f t="shared" si="12"/>
        <v>0</v>
      </c>
      <c r="O26" s="135"/>
      <c r="P26" s="201"/>
      <c r="Q26" s="201"/>
      <c r="R26" s="201"/>
      <c r="S26" s="201"/>
      <c r="T26" s="124"/>
      <c r="U26" s="124"/>
      <c r="V26" s="124"/>
      <c r="W26" s="124"/>
      <c r="X26" s="124"/>
      <c r="Y26" s="124"/>
      <c r="Z26" s="124"/>
      <c r="AA26" s="124"/>
      <c r="AB26" s="182"/>
      <c r="AC26" s="182"/>
      <c r="AD26" s="182"/>
      <c r="AE26" s="182"/>
      <c r="AF26" s="182"/>
      <c r="AG26" s="124"/>
      <c r="AH26" s="126"/>
    </row>
    <row r="27" spans="2:34" x14ac:dyDescent="0.25">
      <c r="B27" s="13">
        <v>5000</v>
      </c>
      <c r="C27" s="13" t="s">
        <v>20</v>
      </c>
      <c r="D27" s="135"/>
      <c r="E27" s="138">
        <v>0</v>
      </c>
      <c r="F27" s="135"/>
      <c r="G27" s="135"/>
      <c r="H27" s="135"/>
      <c r="I27" s="135">
        <f t="shared" si="13"/>
        <v>0</v>
      </c>
      <c r="J27" s="138">
        <v>0</v>
      </c>
      <c r="K27" s="138">
        <f t="shared" si="10"/>
        <v>10000</v>
      </c>
      <c r="L27" s="138"/>
      <c r="M27" s="138">
        <f t="shared" si="11"/>
        <v>0</v>
      </c>
      <c r="N27" s="138">
        <f t="shared" si="12"/>
        <v>0</v>
      </c>
      <c r="O27" s="135"/>
      <c r="P27" s="201"/>
      <c r="Q27" s="201"/>
      <c r="R27" s="201"/>
      <c r="S27" s="201"/>
      <c r="T27" s="124"/>
      <c r="U27" s="124"/>
      <c r="V27" s="124"/>
      <c r="W27" s="124"/>
      <c r="X27" s="124"/>
      <c r="Y27" s="124"/>
      <c r="Z27" s="124"/>
      <c r="AA27" s="124">
        <v>10000</v>
      </c>
      <c r="AB27" s="182"/>
      <c r="AC27" s="182"/>
      <c r="AD27" s="182"/>
      <c r="AE27" s="182"/>
      <c r="AF27" s="182"/>
      <c r="AG27" s="124"/>
      <c r="AH27" s="126"/>
    </row>
    <row r="28" spans="2:34" x14ac:dyDescent="0.25">
      <c r="B28" s="13">
        <v>6315</v>
      </c>
      <c r="C28" s="13" t="s">
        <v>22</v>
      </c>
      <c r="D28" s="135"/>
      <c r="E28" s="138">
        <v>0</v>
      </c>
      <c r="F28" s="135"/>
      <c r="G28" s="135"/>
      <c r="H28" s="135"/>
      <c r="I28" s="135">
        <f t="shared" si="13"/>
        <v>0</v>
      </c>
      <c r="J28" s="138">
        <v>0</v>
      </c>
      <c r="K28" s="138">
        <f t="shared" si="10"/>
        <v>0</v>
      </c>
      <c r="L28" s="138"/>
      <c r="M28" s="138">
        <f t="shared" si="11"/>
        <v>0</v>
      </c>
      <c r="N28" s="138">
        <f t="shared" si="12"/>
        <v>0</v>
      </c>
      <c r="O28" s="135"/>
      <c r="P28" s="201"/>
      <c r="Q28" s="201"/>
      <c r="R28" s="201"/>
      <c r="S28" s="201"/>
      <c r="T28" s="124"/>
      <c r="U28" s="124"/>
      <c r="V28" s="124"/>
      <c r="W28" s="124"/>
      <c r="X28" s="124"/>
      <c r="Y28" s="124"/>
      <c r="Z28" s="124"/>
      <c r="AA28" s="124"/>
      <c r="AB28" s="182"/>
      <c r="AC28" s="182"/>
      <c r="AD28" s="182"/>
      <c r="AE28" s="182"/>
      <c r="AF28" s="182"/>
      <c r="AG28" s="124"/>
      <c r="AH28" s="126"/>
    </row>
    <row r="29" spans="2:34" x14ac:dyDescent="0.25">
      <c r="B29" s="13">
        <v>6316</v>
      </c>
      <c r="C29" s="13" t="s">
        <v>39</v>
      </c>
      <c r="D29" s="135"/>
      <c r="E29" s="138">
        <v>0</v>
      </c>
      <c r="F29" s="135"/>
      <c r="G29" s="135"/>
      <c r="H29" s="135"/>
      <c r="I29" s="135">
        <f t="shared" si="13"/>
        <v>0</v>
      </c>
      <c r="J29" s="138">
        <v>0</v>
      </c>
      <c r="K29" s="138">
        <f t="shared" si="10"/>
        <v>0</v>
      </c>
      <c r="L29" s="138"/>
      <c r="M29" s="138">
        <f t="shared" si="11"/>
        <v>0</v>
      </c>
      <c r="N29" s="138">
        <f t="shared" si="12"/>
        <v>0</v>
      </c>
      <c r="O29" s="135"/>
      <c r="P29" s="201"/>
      <c r="Q29" s="201"/>
      <c r="R29" s="201"/>
      <c r="S29" s="201"/>
      <c r="T29" s="124"/>
      <c r="U29" s="124"/>
      <c r="V29" s="124"/>
      <c r="W29" s="124"/>
      <c r="X29" s="124"/>
      <c r="Y29" s="124"/>
      <c r="Z29" s="124"/>
      <c r="AA29" s="124"/>
      <c r="AB29" s="182"/>
      <c r="AC29" s="182"/>
      <c r="AD29" s="182"/>
      <c r="AE29" s="182"/>
      <c r="AF29" s="182"/>
      <c r="AG29" s="124"/>
      <c r="AH29" s="126"/>
    </row>
    <row r="30" spans="2:34" x14ac:dyDescent="0.25">
      <c r="B30" s="13">
        <v>6320</v>
      </c>
      <c r="C30" s="13" t="s">
        <v>23</v>
      </c>
      <c r="D30" s="135"/>
      <c r="E30" s="138">
        <v>0</v>
      </c>
      <c r="F30" s="135"/>
      <c r="G30" s="135"/>
      <c r="H30" s="135"/>
      <c r="I30" s="135">
        <f t="shared" si="13"/>
        <v>0</v>
      </c>
      <c r="J30" s="138">
        <v>0</v>
      </c>
      <c r="K30" s="138">
        <f t="shared" si="10"/>
        <v>0</v>
      </c>
      <c r="L30" s="138"/>
      <c r="M30" s="138">
        <f t="shared" si="11"/>
        <v>0</v>
      </c>
      <c r="N30" s="138">
        <f t="shared" si="12"/>
        <v>0</v>
      </c>
      <c r="O30" s="135"/>
      <c r="P30" s="201"/>
      <c r="Q30" s="201"/>
      <c r="R30" s="201"/>
      <c r="S30" s="201"/>
      <c r="T30" s="124"/>
      <c r="U30" s="124"/>
      <c r="V30" s="124"/>
      <c r="W30" s="124"/>
      <c r="X30" s="124"/>
      <c r="Y30" s="124"/>
      <c r="Z30" s="124"/>
      <c r="AA30" s="124"/>
      <c r="AB30" s="182"/>
      <c r="AC30" s="182"/>
      <c r="AD30" s="182"/>
      <c r="AE30" s="182"/>
      <c r="AF30" s="182"/>
      <c r="AG30" s="124"/>
      <c r="AH30" s="126"/>
    </row>
    <row r="31" spans="2:34" x14ac:dyDescent="0.25">
      <c r="B31" s="13">
        <v>6340</v>
      </c>
      <c r="C31" s="13" t="s">
        <v>41</v>
      </c>
      <c r="D31" s="135"/>
      <c r="E31" s="138">
        <v>0</v>
      </c>
      <c r="F31" s="135"/>
      <c r="G31" s="135"/>
      <c r="H31" s="135"/>
      <c r="I31" s="135">
        <f t="shared" si="13"/>
        <v>0</v>
      </c>
      <c r="J31" s="138">
        <v>0</v>
      </c>
      <c r="K31" s="138">
        <f t="shared" si="10"/>
        <v>0</v>
      </c>
      <c r="L31" s="138"/>
      <c r="M31" s="138">
        <f t="shared" si="11"/>
        <v>0</v>
      </c>
      <c r="N31" s="138">
        <f t="shared" si="12"/>
        <v>0</v>
      </c>
      <c r="O31" s="135"/>
      <c r="P31" s="201"/>
      <c r="Q31" s="201"/>
      <c r="R31" s="201"/>
      <c r="S31" s="201"/>
      <c r="T31" s="124"/>
      <c r="U31" s="124"/>
      <c r="V31" s="124"/>
      <c r="W31" s="124"/>
      <c r="X31" s="124"/>
      <c r="Y31" s="124"/>
      <c r="Z31" s="124"/>
      <c r="AA31" s="124"/>
      <c r="AB31" s="182"/>
      <c r="AC31" s="182"/>
      <c r="AD31" s="182"/>
      <c r="AE31" s="182"/>
      <c r="AF31" s="182"/>
      <c r="AG31" s="124"/>
      <c r="AH31" s="126"/>
    </row>
    <row r="32" spans="2:34" x14ac:dyDescent="0.25">
      <c r="B32" s="13">
        <v>6340</v>
      </c>
      <c r="C32" s="13" t="s">
        <v>42</v>
      </c>
      <c r="D32" s="135"/>
      <c r="E32" s="138">
        <v>0</v>
      </c>
      <c r="F32" s="135"/>
      <c r="G32" s="135"/>
      <c r="H32" s="135"/>
      <c r="I32" s="135">
        <f t="shared" si="13"/>
        <v>0</v>
      </c>
      <c r="J32" s="138">
        <v>0</v>
      </c>
      <c r="K32" s="138">
        <f t="shared" si="10"/>
        <v>0</v>
      </c>
      <c r="L32" s="138"/>
      <c r="M32" s="138">
        <f t="shared" si="11"/>
        <v>0</v>
      </c>
      <c r="N32" s="138">
        <f t="shared" si="12"/>
        <v>0</v>
      </c>
      <c r="O32" s="135"/>
      <c r="P32" s="201"/>
      <c r="Q32" s="201"/>
      <c r="R32" s="201"/>
      <c r="S32" s="201"/>
      <c r="T32" s="124"/>
      <c r="U32" s="124"/>
      <c r="V32" s="124"/>
      <c r="W32" s="124"/>
      <c r="X32" s="124"/>
      <c r="Y32" s="124"/>
      <c r="Z32" s="124"/>
      <c r="AA32" s="124"/>
      <c r="AB32" s="182"/>
      <c r="AC32" s="182"/>
      <c r="AD32" s="182"/>
      <c r="AE32" s="182"/>
      <c r="AF32" s="182"/>
      <c r="AG32" s="124"/>
      <c r="AH32" s="126"/>
    </row>
    <row r="33" spans="2:34" x14ac:dyDescent="0.25">
      <c r="B33" s="13">
        <v>6550</v>
      </c>
      <c r="C33" s="13" t="s">
        <v>40</v>
      </c>
      <c r="D33" s="135">
        <f>22360+14524</f>
        <v>36884</v>
      </c>
      <c r="E33" s="138">
        <v>51304</v>
      </c>
      <c r="F33" s="135">
        <v>14524</v>
      </c>
      <c r="G33" s="135"/>
      <c r="H33" s="135">
        <v>22360</v>
      </c>
      <c r="I33" s="135">
        <f t="shared" si="13"/>
        <v>36884</v>
      </c>
      <c r="J33" s="138">
        <v>56414</v>
      </c>
      <c r="K33" s="138">
        <f t="shared" si="10"/>
        <v>25096</v>
      </c>
      <c r="L33" s="138">
        <v>45000</v>
      </c>
      <c r="M33" s="138">
        <f t="shared" si="11"/>
        <v>46000</v>
      </c>
      <c r="N33" s="138">
        <f t="shared" si="12"/>
        <v>31000</v>
      </c>
      <c r="O33" s="135"/>
      <c r="P33" s="201">
        <v>25000</v>
      </c>
      <c r="Q33" s="201">
        <v>11081.6</v>
      </c>
      <c r="R33" s="201">
        <v>20000</v>
      </c>
      <c r="S33" s="201"/>
      <c r="T33" s="124">
        <v>3000</v>
      </c>
      <c r="U33" s="124">
        <v>1832.8</v>
      </c>
      <c r="V33" s="124"/>
      <c r="W33" s="124">
        <v>2000</v>
      </c>
      <c r="X33" s="124">
        <v>2000</v>
      </c>
      <c r="Y33" s="124"/>
      <c r="Z33" s="124">
        <v>12000</v>
      </c>
      <c r="AA33" s="124">
        <v>11381.6</v>
      </c>
      <c r="AB33" s="182">
        <v>5000</v>
      </c>
      <c r="AC33" s="182">
        <v>4000</v>
      </c>
      <c r="AD33" s="182">
        <v>1879</v>
      </c>
      <c r="AE33" s="182">
        <v>800</v>
      </c>
      <c r="AF33" s="182">
        <v>4000</v>
      </c>
      <c r="AG33" s="124">
        <v>4000</v>
      </c>
      <c r="AH33" s="126"/>
    </row>
    <row r="34" spans="2:34" x14ac:dyDescent="0.25">
      <c r="B34" s="13">
        <v>6600</v>
      </c>
      <c r="C34" s="13" t="s">
        <v>24</v>
      </c>
      <c r="D34" s="135"/>
      <c r="E34" s="138">
        <v>0</v>
      </c>
      <c r="F34" s="135"/>
      <c r="G34" s="135"/>
      <c r="H34" s="135"/>
      <c r="I34" s="135">
        <f t="shared" si="13"/>
        <v>0</v>
      </c>
      <c r="J34" s="138">
        <v>0</v>
      </c>
      <c r="K34" s="138">
        <f t="shared" si="10"/>
        <v>0</v>
      </c>
      <c r="L34" s="138"/>
      <c r="M34" s="138">
        <f t="shared" si="11"/>
        <v>0</v>
      </c>
      <c r="N34" s="138">
        <f t="shared" si="12"/>
        <v>0</v>
      </c>
      <c r="O34" s="135"/>
      <c r="P34" s="201"/>
      <c r="Q34" s="201"/>
      <c r="R34" s="201"/>
      <c r="S34" s="201"/>
      <c r="T34" s="124"/>
      <c r="U34" s="124"/>
      <c r="V34" s="124"/>
      <c r="W34" s="124"/>
      <c r="X34" s="124"/>
      <c r="Y34" s="124"/>
      <c r="Z34" s="124"/>
      <c r="AA34" s="124"/>
      <c r="AB34" s="182"/>
      <c r="AC34" s="182"/>
      <c r="AD34" s="182"/>
      <c r="AE34" s="182"/>
      <c r="AF34" s="182"/>
      <c r="AG34" s="124"/>
      <c r="AH34" s="126"/>
    </row>
    <row r="35" spans="2:34" x14ac:dyDescent="0.25">
      <c r="B35" s="13">
        <v>6620</v>
      </c>
      <c r="C35" s="13" t="s">
        <v>25</v>
      </c>
      <c r="D35" s="135"/>
      <c r="E35" s="138">
        <v>0</v>
      </c>
      <c r="F35" s="135"/>
      <c r="G35" s="135"/>
      <c r="H35" s="135"/>
      <c r="I35" s="135">
        <f t="shared" si="13"/>
        <v>0</v>
      </c>
      <c r="J35" s="138">
        <v>1649</v>
      </c>
      <c r="K35" s="138">
        <f t="shared" si="10"/>
        <v>0</v>
      </c>
      <c r="L35" s="138"/>
      <c r="M35" s="138">
        <f t="shared" si="11"/>
        <v>0</v>
      </c>
      <c r="N35" s="138">
        <f t="shared" si="12"/>
        <v>0</v>
      </c>
      <c r="O35" s="135"/>
      <c r="P35" s="201"/>
      <c r="Q35" s="201"/>
      <c r="R35" s="201"/>
      <c r="S35" s="201"/>
      <c r="T35" s="124"/>
      <c r="U35" s="124"/>
      <c r="V35" s="124"/>
      <c r="W35" s="124"/>
      <c r="X35" s="124"/>
      <c r="Y35" s="124"/>
      <c r="Z35" s="124"/>
      <c r="AA35" s="124"/>
      <c r="AB35" s="182"/>
      <c r="AC35" s="182"/>
      <c r="AD35" s="182"/>
      <c r="AE35" s="182"/>
      <c r="AF35" s="182"/>
      <c r="AG35" s="124"/>
      <c r="AH35" s="126"/>
    </row>
    <row r="36" spans="2:34" x14ac:dyDescent="0.25">
      <c r="B36" s="13">
        <v>6630</v>
      </c>
      <c r="C36" s="13" t="s">
        <v>47</v>
      </c>
      <c r="D36" s="135"/>
      <c r="E36" s="138">
        <v>0</v>
      </c>
      <c r="F36" s="135"/>
      <c r="G36" s="135"/>
      <c r="H36" s="135"/>
      <c r="I36" s="135">
        <f t="shared" si="13"/>
        <v>0</v>
      </c>
      <c r="J36" s="138">
        <v>0</v>
      </c>
      <c r="K36" s="138">
        <f t="shared" si="10"/>
        <v>0</v>
      </c>
      <c r="L36" s="138"/>
      <c r="M36" s="138">
        <f t="shared" si="11"/>
        <v>0</v>
      </c>
      <c r="N36" s="138">
        <f t="shared" si="12"/>
        <v>0</v>
      </c>
      <c r="O36" s="135"/>
      <c r="P36" s="201"/>
      <c r="Q36" s="201"/>
      <c r="R36" s="201"/>
      <c r="S36" s="201"/>
      <c r="T36" s="124"/>
      <c r="U36" s="124"/>
      <c r="V36" s="124"/>
      <c r="W36" s="124"/>
      <c r="X36" s="124"/>
      <c r="Y36" s="124"/>
      <c r="Z36" s="124"/>
      <c r="AA36" s="124"/>
      <c r="AB36" s="182"/>
      <c r="AC36" s="182"/>
      <c r="AD36" s="182"/>
      <c r="AE36" s="182"/>
      <c r="AF36" s="182"/>
      <c r="AG36" s="124"/>
      <c r="AH36" s="126"/>
    </row>
    <row r="37" spans="2:34" x14ac:dyDescent="0.25">
      <c r="B37" s="13">
        <v>6705</v>
      </c>
      <c r="C37" s="136" t="s">
        <v>28</v>
      </c>
      <c r="D37" s="135"/>
      <c r="E37" s="138">
        <v>0</v>
      </c>
      <c r="F37" s="135"/>
      <c r="G37" s="135"/>
      <c r="H37" s="135"/>
      <c r="I37" s="135">
        <f t="shared" si="13"/>
        <v>0</v>
      </c>
      <c r="J37" s="138">
        <v>0</v>
      </c>
      <c r="K37" s="138">
        <f t="shared" si="10"/>
        <v>0</v>
      </c>
      <c r="L37" s="138"/>
      <c r="M37" s="138">
        <f t="shared" si="11"/>
        <v>0</v>
      </c>
      <c r="N37" s="138">
        <f t="shared" si="12"/>
        <v>0</v>
      </c>
      <c r="O37" s="135"/>
      <c r="P37" s="201"/>
      <c r="Q37" s="201"/>
      <c r="R37" s="201"/>
      <c r="S37" s="201"/>
      <c r="T37" s="124"/>
      <c r="U37" s="124"/>
      <c r="V37" s="124"/>
      <c r="W37" s="124"/>
      <c r="X37" s="124"/>
      <c r="Y37" s="124"/>
      <c r="Z37" s="124"/>
      <c r="AA37" s="124"/>
      <c r="AB37" s="182"/>
      <c r="AC37" s="182"/>
      <c r="AD37" s="182"/>
      <c r="AE37" s="182"/>
      <c r="AF37" s="182"/>
      <c r="AG37" s="124"/>
      <c r="AH37" s="126"/>
    </row>
    <row r="38" spans="2:34" x14ac:dyDescent="0.25">
      <c r="B38" s="13">
        <v>6800</v>
      </c>
      <c r="C38" s="13" t="s">
        <v>43</v>
      </c>
      <c r="D38" s="135"/>
      <c r="E38" s="138">
        <v>202</v>
      </c>
      <c r="F38" s="135"/>
      <c r="G38" s="135"/>
      <c r="H38" s="135"/>
      <c r="I38" s="135">
        <f t="shared" si="13"/>
        <v>0</v>
      </c>
      <c r="J38" s="138">
        <v>0</v>
      </c>
      <c r="K38" s="138">
        <f t="shared" si="10"/>
        <v>0</v>
      </c>
      <c r="L38" s="138">
        <v>1000</v>
      </c>
      <c r="M38" s="138">
        <f t="shared" si="11"/>
        <v>1000</v>
      </c>
      <c r="N38" s="138">
        <f t="shared" si="12"/>
        <v>0</v>
      </c>
      <c r="O38" s="135"/>
      <c r="P38" s="201">
        <v>1000</v>
      </c>
      <c r="Q38" s="201"/>
      <c r="R38" s="201"/>
      <c r="S38" s="201"/>
      <c r="T38" s="124"/>
      <c r="U38" s="124"/>
      <c r="V38" s="124"/>
      <c r="W38" s="124"/>
      <c r="X38" s="124"/>
      <c r="Y38" s="124"/>
      <c r="Z38" s="124"/>
      <c r="AA38" s="124"/>
      <c r="AB38" s="182"/>
      <c r="AC38" s="182"/>
      <c r="AD38" s="182"/>
      <c r="AE38" s="182"/>
      <c r="AF38" s="182"/>
      <c r="AG38" s="124"/>
      <c r="AH38" s="126"/>
    </row>
    <row r="39" spans="2:34" x14ac:dyDescent="0.25">
      <c r="B39" s="13">
        <v>6840</v>
      </c>
      <c r="C39" s="13" t="s">
        <v>26</v>
      </c>
      <c r="D39" s="135"/>
      <c r="E39" s="138">
        <v>0</v>
      </c>
      <c r="F39" s="135"/>
      <c r="G39" s="135"/>
      <c r="H39" s="135"/>
      <c r="I39" s="135">
        <f t="shared" si="13"/>
        <v>0</v>
      </c>
      <c r="J39" s="138">
        <v>0</v>
      </c>
      <c r="K39" s="138">
        <f t="shared" si="10"/>
        <v>0</v>
      </c>
      <c r="L39" s="138"/>
      <c r="M39" s="138">
        <f t="shared" si="11"/>
        <v>0</v>
      </c>
      <c r="N39" s="138">
        <f t="shared" si="12"/>
        <v>0</v>
      </c>
      <c r="O39" s="135"/>
      <c r="P39" s="201"/>
      <c r="Q39" s="201"/>
      <c r="R39" s="201"/>
      <c r="S39" s="201"/>
      <c r="T39" s="124"/>
      <c r="U39" s="124"/>
      <c r="V39" s="124"/>
      <c r="W39" s="124"/>
      <c r="X39" s="124"/>
      <c r="Y39" s="124"/>
      <c r="Z39" s="124"/>
      <c r="AA39" s="124"/>
      <c r="AB39" s="182"/>
      <c r="AC39" s="182"/>
      <c r="AD39" s="182"/>
      <c r="AE39" s="182"/>
      <c r="AF39" s="182"/>
      <c r="AG39" s="124"/>
      <c r="AH39" s="126"/>
    </row>
    <row r="40" spans="2:34" x14ac:dyDescent="0.25">
      <c r="B40" s="13">
        <v>6860</v>
      </c>
      <c r="C40" s="13" t="s">
        <v>27</v>
      </c>
      <c r="D40" s="135">
        <f>5031.76+2905</f>
        <v>7936.76</v>
      </c>
      <c r="E40" s="138">
        <v>5282</v>
      </c>
      <c r="F40" s="135">
        <v>2905</v>
      </c>
      <c r="G40" s="135"/>
      <c r="H40" s="135">
        <v>5031.76</v>
      </c>
      <c r="I40" s="135">
        <f t="shared" si="13"/>
        <v>7936.76</v>
      </c>
      <c r="J40" s="138">
        <v>0</v>
      </c>
      <c r="K40" s="138">
        <f t="shared" si="10"/>
        <v>3825.47</v>
      </c>
      <c r="L40" s="138">
        <v>6000</v>
      </c>
      <c r="M40" s="138">
        <f t="shared" si="11"/>
        <v>14500</v>
      </c>
      <c r="N40" s="138">
        <f t="shared" si="12"/>
        <v>12500</v>
      </c>
      <c r="O40" s="135"/>
      <c r="P40" s="201">
        <v>5000</v>
      </c>
      <c r="Q40" s="201">
        <v>2265.4699999999998</v>
      </c>
      <c r="R40" s="201">
        <v>3000</v>
      </c>
      <c r="S40" s="201"/>
      <c r="T40" s="124"/>
      <c r="U40" s="124">
        <v>1560</v>
      </c>
      <c r="V40" s="124"/>
      <c r="W40" s="124">
        <v>8500</v>
      </c>
      <c r="X40" s="124">
        <v>8500</v>
      </c>
      <c r="Y40" s="124"/>
      <c r="Z40" s="124">
        <v>1000</v>
      </c>
      <c r="AA40" s="124"/>
      <c r="AB40" s="182">
        <v>1000</v>
      </c>
      <c r="AC40" s="182"/>
      <c r="AD40" s="182"/>
      <c r="AE40" s="182"/>
      <c r="AF40" s="182"/>
      <c r="AG40" s="124"/>
      <c r="AH40" s="126"/>
    </row>
    <row r="41" spans="2:34" x14ac:dyDescent="0.25">
      <c r="B41" s="13">
        <v>6900</v>
      </c>
      <c r="C41" s="136" t="s">
        <v>44</v>
      </c>
      <c r="D41" s="135"/>
      <c r="E41" s="138">
        <v>0</v>
      </c>
      <c r="F41" s="135"/>
      <c r="G41" s="135"/>
      <c r="H41" s="135"/>
      <c r="I41" s="135">
        <f t="shared" si="13"/>
        <v>0</v>
      </c>
      <c r="J41" s="138">
        <v>0</v>
      </c>
      <c r="K41" s="138">
        <f t="shared" si="10"/>
        <v>0</v>
      </c>
      <c r="L41" s="138"/>
      <c r="M41" s="138">
        <f t="shared" si="11"/>
        <v>0</v>
      </c>
      <c r="N41" s="138">
        <f t="shared" si="12"/>
        <v>0</v>
      </c>
      <c r="O41" s="135"/>
      <c r="P41" s="201"/>
      <c r="Q41" s="201"/>
      <c r="R41" s="201"/>
      <c r="S41" s="201"/>
      <c r="T41" s="124"/>
      <c r="U41" s="124"/>
      <c r="V41" s="124"/>
      <c r="W41" s="124"/>
      <c r="X41" s="124"/>
      <c r="Y41" s="124"/>
      <c r="Z41" s="124"/>
      <c r="AA41" s="124"/>
      <c r="AB41" s="182"/>
      <c r="AC41" s="182"/>
      <c r="AD41" s="182"/>
      <c r="AE41" s="182"/>
      <c r="AF41" s="182"/>
      <c r="AG41" s="124"/>
      <c r="AH41" s="126"/>
    </row>
    <row r="42" spans="2:34" x14ac:dyDescent="0.25">
      <c r="B42" s="13">
        <v>6940</v>
      </c>
      <c r="C42" s="13" t="s">
        <v>29</v>
      </c>
      <c r="D42" s="135"/>
      <c r="E42" s="138">
        <v>0</v>
      </c>
      <c r="F42" s="135"/>
      <c r="G42" s="135"/>
      <c r="H42" s="135"/>
      <c r="I42" s="135">
        <f t="shared" si="13"/>
        <v>0</v>
      </c>
      <c r="J42" s="138">
        <v>0</v>
      </c>
      <c r="K42" s="138">
        <f t="shared" si="10"/>
        <v>0</v>
      </c>
      <c r="L42" s="138"/>
      <c r="M42" s="138">
        <f t="shared" si="11"/>
        <v>0</v>
      </c>
      <c r="N42" s="138">
        <f t="shared" si="12"/>
        <v>0</v>
      </c>
      <c r="O42" s="135"/>
      <c r="P42" s="201"/>
      <c r="Q42" s="201"/>
      <c r="R42" s="201"/>
      <c r="S42" s="201"/>
      <c r="T42" s="124"/>
      <c r="U42" s="124"/>
      <c r="V42" s="124"/>
      <c r="W42" s="124"/>
      <c r="X42" s="124"/>
      <c r="Y42" s="124"/>
      <c r="Z42" s="124"/>
      <c r="AA42" s="124"/>
      <c r="AB42" s="182"/>
      <c r="AC42" s="182"/>
      <c r="AD42" s="182"/>
      <c r="AE42" s="182"/>
      <c r="AF42" s="182"/>
      <c r="AG42" s="124"/>
      <c r="AH42" s="126"/>
    </row>
    <row r="43" spans="2:34" x14ac:dyDescent="0.25">
      <c r="B43" s="13">
        <v>7000</v>
      </c>
      <c r="C43" s="13" t="s">
        <v>48</v>
      </c>
      <c r="D43" s="135"/>
      <c r="E43" s="138">
        <v>0</v>
      </c>
      <c r="F43" s="135"/>
      <c r="G43" s="135"/>
      <c r="H43" s="135"/>
      <c r="I43" s="135">
        <f t="shared" si="13"/>
        <v>0</v>
      </c>
      <c r="J43" s="138">
        <v>0</v>
      </c>
      <c r="K43" s="138">
        <f t="shared" si="10"/>
        <v>0</v>
      </c>
      <c r="L43" s="138"/>
      <c r="M43" s="138">
        <f t="shared" si="11"/>
        <v>0</v>
      </c>
      <c r="N43" s="138">
        <f t="shared" si="12"/>
        <v>0</v>
      </c>
      <c r="O43" s="135"/>
      <c r="P43" s="201"/>
      <c r="Q43" s="201"/>
      <c r="R43" s="201"/>
      <c r="S43" s="201"/>
      <c r="T43" s="124"/>
      <c r="U43" s="124"/>
      <c r="V43" s="124"/>
      <c r="W43" s="124"/>
      <c r="X43" s="124"/>
      <c r="Y43" s="124"/>
      <c r="Z43" s="124"/>
      <c r="AA43" s="124"/>
      <c r="AB43" s="182"/>
      <c r="AC43" s="182"/>
      <c r="AD43" s="182"/>
      <c r="AE43" s="182"/>
      <c r="AF43" s="182"/>
      <c r="AG43" s="124"/>
      <c r="AH43" s="126"/>
    </row>
    <row r="44" spans="2:34" x14ac:dyDescent="0.25">
      <c r="B44" s="13">
        <v>7140</v>
      </c>
      <c r="C44" s="13" t="s">
        <v>45</v>
      </c>
      <c r="D44" s="135">
        <v>5000</v>
      </c>
      <c r="E44" s="138">
        <v>39441</v>
      </c>
      <c r="F44" s="135">
        <v>5000</v>
      </c>
      <c r="G44" s="135"/>
      <c r="H44" s="135"/>
      <c r="I44" s="135">
        <f t="shared" si="13"/>
        <v>5000</v>
      </c>
      <c r="J44" s="138">
        <v>73038</v>
      </c>
      <c r="K44" s="138">
        <f t="shared" si="10"/>
        <v>5000</v>
      </c>
      <c r="L44" s="138">
        <v>65000</v>
      </c>
      <c r="M44" s="138">
        <f t="shared" si="11"/>
        <v>30000</v>
      </c>
      <c r="N44" s="138">
        <f t="shared" si="12"/>
        <v>20000</v>
      </c>
      <c r="O44" s="135"/>
      <c r="P44" s="201"/>
      <c r="Q44" s="201"/>
      <c r="R44" s="201"/>
      <c r="S44" s="201"/>
      <c r="T44" s="124"/>
      <c r="U44" s="124"/>
      <c r="V44" s="124"/>
      <c r="W44" s="124"/>
      <c r="X44" s="124"/>
      <c r="Y44" s="124"/>
      <c r="Z44" s="124">
        <v>15000</v>
      </c>
      <c r="AA44" s="124">
        <v>5000</v>
      </c>
      <c r="AB44" s="182">
        <v>20000</v>
      </c>
      <c r="AC44" s="182">
        <v>25000</v>
      </c>
      <c r="AD44" s="182">
        <v>25000</v>
      </c>
      <c r="AE44" s="182"/>
      <c r="AF44" s="182">
        <v>15000</v>
      </c>
      <c r="AG44" s="124"/>
      <c r="AH44" s="126"/>
    </row>
    <row r="45" spans="2:34" x14ac:dyDescent="0.25">
      <c r="B45" s="13">
        <v>7320</v>
      </c>
      <c r="C45" s="136" t="s">
        <v>30</v>
      </c>
      <c r="D45" s="135"/>
      <c r="E45" s="138">
        <v>0</v>
      </c>
      <c r="F45" s="135"/>
      <c r="G45" s="135"/>
      <c r="H45" s="135"/>
      <c r="I45" s="135">
        <f t="shared" si="13"/>
        <v>0</v>
      </c>
      <c r="J45" s="138">
        <v>0</v>
      </c>
      <c r="K45" s="138">
        <f t="shared" si="10"/>
        <v>0</v>
      </c>
      <c r="L45" s="138"/>
      <c r="M45" s="138">
        <f t="shared" si="11"/>
        <v>0</v>
      </c>
      <c r="N45" s="138">
        <f t="shared" si="12"/>
        <v>0</v>
      </c>
      <c r="O45" s="135"/>
      <c r="P45" s="201"/>
      <c r="Q45" s="201"/>
      <c r="R45" s="201"/>
      <c r="S45" s="201"/>
      <c r="T45" s="124"/>
      <c r="U45" s="124"/>
      <c r="V45" s="124"/>
      <c r="W45" s="124"/>
      <c r="X45" s="124"/>
      <c r="Y45" s="124"/>
      <c r="Z45" s="124"/>
      <c r="AA45" s="124"/>
      <c r="AB45" s="182"/>
      <c r="AC45" s="182"/>
      <c r="AD45" s="182"/>
      <c r="AE45" s="182"/>
      <c r="AF45" s="182"/>
      <c r="AG45" s="124"/>
      <c r="AH45" s="126"/>
    </row>
    <row r="46" spans="2:34" x14ac:dyDescent="0.25">
      <c r="B46" s="13">
        <v>7400</v>
      </c>
      <c r="C46" s="13" t="s">
        <v>31</v>
      </c>
      <c r="D46" s="135">
        <v>16850</v>
      </c>
      <c r="E46" s="138">
        <v>18500</v>
      </c>
      <c r="F46" s="135"/>
      <c r="G46" s="135"/>
      <c r="H46" s="135">
        <v>16850</v>
      </c>
      <c r="I46" s="135">
        <f t="shared" si="13"/>
        <v>16850</v>
      </c>
      <c r="J46" s="138">
        <v>48515</v>
      </c>
      <c r="K46" s="138">
        <f t="shared" si="10"/>
        <v>40850</v>
      </c>
      <c r="L46" s="138">
        <v>51000</v>
      </c>
      <c r="M46" s="138">
        <f t="shared" si="11"/>
        <v>54199</v>
      </c>
      <c r="N46" s="138">
        <f t="shared" si="12"/>
        <v>42600</v>
      </c>
      <c r="O46" s="135"/>
      <c r="P46" s="201">
        <v>18000</v>
      </c>
      <c r="Q46" s="201">
        <v>8550</v>
      </c>
      <c r="R46" s="201">
        <v>8500</v>
      </c>
      <c r="S46" s="201"/>
      <c r="T46" s="124"/>
      <c r="U46" s="124">
        <v>1750</v>
      </c>
      <c r="V46" s="124">
        <v>1399</v>
      </c>
      <c r="W46" s="124">
        <v>1399</v>
      </c>
      <c r="X46" s="124">
        <v>1500</v>
      </c>
      <c r="Y46" s="124"/>
      <c r="Z46" s="124">
        <v>10000</v>
      </c>
      <c r="AA46" s="124">
        <v>13951</v>
      </c>
      <c r="AB46" s="182">
        <v>16000</v>
      </c>
      <c r="AC46" s="182">
        <f>17000+12000</f>
        <v>29000</v>
      </c>
      <c r="AD46" s="182">
        <v>21300</v>
      </c>
      <c r="AE46" s="182">
        <v>15200</v>
      </c>
      <c r="AF46" s="182">
        <f>13000+10000+1800</f>
        <v>24800</v>
      </c>
      <c r="AG46" s="124">
        <f>16000+600</f>
        <v>16600</v>
      </c>
      <c r="AH46" s="126"/>
    </row>
    <row r="47" spans="2:34" x14ac:dyDescent="0.25">
      <c r="B47" s="13">
        <v>7420</v>
      </c>
      <c r="C47" s="13" t="s">
        <v>12</v>
      </c>
      <c r="D47" s="135"/>
      <c r="E47" s="138">
        <v>5400</v>
      </c>
      <c r="F47" s="135"/>
      <c r="G47" s="135"/>
      <c r="H47" s="135"/>
      <c r="I47" s="135">
        <f t="shared" si="13"/>
        <v>0</v>
      </c>
      <c r="J47" s="138">
        <v>2130</v>
      </c>
      <c r="K47" s="138">
        <f t="shared" si="10"/>
        <v>13999</v>
      </c>
      <c r="L47" s="138">
        <v>6000</v>
      </c>
      <c r="M47" s="138">
        <f t="shared" si="11"/>
        <v>6000</v>
      </c>
      <c r="N47" s="138">
        <f t="shared" si="12"/>
        <v>7000</v>
      </c>
      <c r="O47" s="135"/>
      <c r="P47" s="201">
        <v>5000</v>
      </c>
      <c r="Q47" s="201">
        <v>13999</v>
      </c>
      <c r="R47" s="201">
        <v>6000</v>
      </c>
      <c r="S47" s="201"/>
      <c r="T47" s="124"/>
      <c r="U47" s="124"/>
      <c r="V47" s="124"/>
      <c r="W47" s="124"/>
      <c r="X47" s="124"/>
      <c r="Y47" s="124"/>
      <c r="Z47" s="124">
        <v>1000</v>
      </c>
      <c r="AA47" s="124"/>
      <c r="AB47" s="182">
        <v>1000</v>
      </c>
      <c r="AC47" s="182"/>
      <c r="AD47" s="182"/>
      <c r="AE47" s="182"/>
      <c r="AF47" s="182"/>
      <c r="AG47" s="124"/>
      <c r="AH47" s="126"/>
    </row>
    <row r="48" spans="2:34" x14ac:dyDescent="0.25">
      <c r="B48" s="13">
        <v>7500</v>
      </c>
      <c r="C48" s="13" t="s">
        <v>21</v>
      </c>
      <c r="D48" s="135"/>
      <c r="E48" s="138">
        <v>0</v>
      </c>
      <c r="F48" s="135"/>
      <c r="G48" s="135"/>
      <c r="H48" s="135"/>
      <c r="I48" s="135">
        <f t="shared" si="13"/>
        <v>0</v>
      </c>
      <c r="J48" s="138">
        <v>0</v>
      </c>
      <c r="K48" s="138">
        <f t="shared" si="10"/>
        <v>11100</v>
      </c>
      <c r="L48" s="138"/>
      <c r="M48" s="138">
        <f t="shared" si="11"/>
        <v>11000</v>
      </c>
      <c r="N48" s="138">
        <f t="shared" si="12"/>
        <v>10500</v>
      </c>
      <c r="O48" s="135"/>
      <c r="P48" s="201"/>
      <c r="Q48" s="201">
        <v>500</v>
      </c>
      <c r="R48" s="201">
        <v>500</v>
      </c>
      <c r="S48" s="201"/>
      <c r="T48" s="124"/>
      <c r="U48" s="124"/>
      <c r="V48" s="124"/>
      <c r="W48" s="124"/>
      <c r="X48" s="124"/>
      <c r="Y48" s="124"/>
      <c r="Z48" s="124">
        <v>11000</v>
      </c>
      <c r="AA48" s="124"/>
      <c r="AB48" s="182"/>
      <c r="AC48" s="182"/>
      <c r="AD48" s="182"/>
      <c r="AE48" s="182">
        <v>10600</v>
      </c>
      <c r="AF48" s="182"/>
      <c r="AG48" s="124">
        <v>10000</v>
      </c>
      <c r="AH48" s="126"/>
    </row>
    <row r="49" spans="2:37" x14ac:dyDescent="0.25">
      <c r="B49" s="13">
        <v>7745</v>
      </c>
      <c r="C49" s="13" t="s">
        <v>92</v>
      </c>
      <c r="D49" s="135"/>
      <c r="E49" s="138">
        <v>3740</v>
      </c>
      <c r="F49" s="135"/>
      <c r="G49" s="135"/>
      <c r="H49" s="135"/>
      <c r="I49" s="135">
        <f t="shared" si="13"/>
        <v>0</v>
      </c>
      <c r="J49" s="138">
        <v>3500</v>
      </c>
      <c r="K49" s="138">
        <f t="shared" si="10"/>
        <v>3080</v>
      </c>
      <c r="L49" s="138">
        <v>34000</v>
      </c>
      <c r="M49" s="138">
        <f t="shared" si="11"/>
        <v>4000</v>
      </c>
      <c r="N49" s="138">
        <f t="shared" si="12"/>
        <v>4000</v>
      </c>
      <c r="O49" s="135"/>
      <c r="P49" s="201">
        <v>2000</v>
      </c>
      <c r="Q49" s="201">
        <v>3080</v>
      </c>
      <c r="R49" s="201">
        <v>2000</v>
      </c>
      <c r="S49" s="201"/>
      <c r="T49" s="124"/>
      <c r="U49" s="124"/>
      <c r="V49" s="124"/>
      <c r="W49" s="124"/>
      <c r="X49" s="124"/>
      <c r="Y49" s="124"/>
      <c r="Z49" s="124">
        <v>2000</v>
      </c>
      <c r="AA49" s="124"/>
      <c r="AB49" s="182">
        <v>2000</v>
      </c>
      <c r="AC49" s="182"/>
      <c r="AD49" s="182"/>
      <c r="AE49" s="182"/>
      <c r="AF49" s="182"/>
      <c r="AG49" s="124"/>
      <c r="AH49" s="126"/>
    </row>
    <row r="50" spans="2:37" x14ac:dyDescent="0.25">
      <c r="B50" s="13">
        <v>7750</v>
      </c>
      <c r="C50" s="9" t="s">
        <v>113</v>
      </c>
      <c r="D50" s="135">
        <f>92854.99+30470.54+2400+62886</f>
        <v>188611.53</v>
      </c>
      <c r="E50" s="138">
        <v>271607</v>
      </c>
      <c r="F50" s="135">
        <v>30470.54</v>
      </c>
      <c r="G50" s="135">
        <v>62886</v>
      </c>
      <c r="H50" s="135">
        <f>92854.99+2400</f>
        <v>95254.99</v>
      </c>
      <c r="I50" s="135">
        <f t="shared" si="13"/>
        <v>188611.53000000003</v>
      </c>
      <c r="J50" s="138">
        <v>620583</v>
      </c>
      <c r="K50" s="138">
        <f t="shared" si="10"/>
        <v>229212.79999999999</v>
      </c>
      <c r="L50" s="138">
        <v>311000</v>
      </c>
      <c r="M50" s="138">
        <f t="shared" si="11"/>
        <v>192900</v>
      </c>
      <c r="N50" s="138">
        <f t="shared" si="12"/>
        <v>123000</v>
      </c>
      <c r="O50" s="135"/>
      <c r="P50" s="201">
        <f>55000</f>
        <v>55000</v>
      </c>
      <c r="Q50" s="201">
        <f>54075.9+1000+500+1500</f>
        <v>57075.9</v>
      </c>
      <c r="R50" s="201">
        <v>50000</v>
      </c>
      <c r="S50" s="201"/>
      <c r="T50" s="124">
        <f>1800+32200+900</f>
        <v>34900</v>
      </c>
      <c r="U50" s="124">
        <v>57242.6</v>
      </c>
      <c r="V50" s="124">
        <v>56057.5</v>
      </c>
      <c r="W50" s="124">
        <v>42000</v>
      </c>
      <c r="X50" s="124">
        <v>42000</v>
      </c>
      <c r="Y50" s="124"/>
      <c r="Z50" s="124">
        <v>45000</v>
      </c>
      <c r="AA50" s="124">
        <f>350+37587.8</f>
        <v>37937.800000000003</v>
      </c>
      <c r="AB50" s="182">
        <v>10000</v>
      </c>
      <c r="AC50" s="182">
        <f>10000</f>
        <v>10000</v>
      </c>
      <c r="AD50" s="182">
        <v>16050</v>
      </c>
      <c r="AE50" s="182">
        <v>20899</v>
      </c>
      <c r="AF50" s="182">
        <f>16000</f>
        <v>16000</v>
      </c>
      <c r="AG50" s="124">
        <v>21000</v>
      </c>
      <c r="AH50" s="126">
        <f>5375+750</f>
        <v>6125</v>
      </c>
      <c r="AI50" t="s">
        <v>150</v>
      </c>
      <c r="AJ50" t="s">
        <v>152</v>
      </c>
      <c r="AK50" t="s">
        <v>151</v>
      </c>
    </row>
    <row r="51" spans="2:37" x14ac:dyDescent="0.25">
      <c r="B51" s="13">
        <v>7755</v>
      </c>
      <c r="C51" s="13" t="s">
        <v>33</v>
      </c>
      <c r="D51" s="135">
        <f>7321+4275</f>
        <v>11596</v>
      </c>
      <c r="E51" s="138">
        <v>46298</v>
      </c>
      <c r="F51" s="135">
        <v>4275</v>
      </c>
      <c r="G51" s="135"/>
      <c r="H51" s="135">
        <v>7321</v>
      </c>
      <c r="I51" s="135">
        <f t="shared" si="13"/>
        <v>11596</v>
      </c>
      <c r="J51" s="138">
        <v>123425</v>
      </c>
      <c r="K51" s="138">
        <f t="shared" si="10"/>
        <v>88055.6</v>
      </c>
      <c r="L51" s="138">
        <v>145000</v>
      </c>
      <c r="M51" s="138">
        <f t="shared" si="11"/>
        <v>68600</v>
      </c>
      <c r="N51" s="138">
        <f t="shared" si="12"/>
        <v>47750</v>
      </c>
      <c r="O51" s="135"/>
      <c r="P51" s="201">
        <v>12000</v>
      </c>
      <c r="Q51" s="201">
        <f>1296+6400</f>
        <v>7696</v>
      </c>
      <c r="R51" s="201">
        <v>5000</v>
      </c>
      <c r="S51" s="201"/>
      <c r="T51" s="124">
        <f>12000+9000</f>
        <v>21000</v>
      </c>
      <c r="U51" s="124">
        <f>13634+29421.6</f>
        <v>43055.6</v>
      </c>
      <c r="V51" s="124"/>
      <c r="W51" s="124"/>
      <c r="X51" s="124"/>
      <c r="Y51" s="124"/>
      <c r="Z51" s="124">
        <v>15000</v>
      </c>
      <c r="AA51" s="124">
        <v>21404</v>
      </c>
      <c r="AB51" s="182">
        <v>30000</v>
      </c>
      <c r="AC51" s="182">
        <v>35000</v>
      </c>
      <c r="AD51" s="182">
        <v>37700</v>
      </c>
      <c r="AE51" s="182">
        <v>15900</v>
      </c>
      <c r="AF51" s="182">
        <f>15600+5000</f>
        <v>20600</v>
      </c>
      <c r="AG51" s="124">
        <v>12750</v>
      </c>
      <c r="AH51" s="126"/>
    </row>
    <row r="52" spans="2:37" x14ac:dyDescent="0.25">
      <c r="B52" s="13">
        <v>7770</v>
      </c>
      <c r="C52" s="13" t="s">
        <v>88</v>
      </c>
      <c r="D52" s="135">
        <f>54.9+30</f>
        <v>84.9</v>
      </c>
      <c r="E52" s="138">
        <v>60</v>
      </c>
      <c r="F52" s="135">
        <v>30</v>
      </c>
      <c r="G52" s="135"/>
      <c r="H52" s="135">
        <v>54.9</v>
      </c>
      <c r="I52" s="135">
        <f t="shared" si="13"/>
        <v>84.9</v>
      </c>
      <c r="J52" s="138">
        <v>90</v>
      </c>
      <c r="K52" s="138">
        <f t="shared" si="10"/>
        <v>0</v>
      </c>
      <c r="L52" s="138"/>
      <c r="M52" s="138">
        <f t="shared" si="11"/>
        <v>0</v>
      </c>
      <c r="N52" s="138">
        <f t="shared" si="12"/>
        <v>0</v>
      </c>
      <c r="O52" s="135"/>
      <c r="P52" s="201"/>
      <c r="Q52" s="201"/>
      <c r="R52" s="201"/>
      <c r="S52" s="201"/>
      <c r="T52" s="124"/>
      <c r="U52" s="124"/>
      <c r="V52" s="124"/>
      <c r="W52" s="124"/>
      <c r="X52" s="124"/>
      <c r="Y52" s="124"/>
      <c r="Z52" s="124"/>
      <c r="AA52" s="124"/>
      <c r="AB52" s="182"/>
      <c r="AC52" s="182"/>
      <c r="AD52" s="182"/>
      <c r="AE52" s="182"/>
      <c r="AF52" s="182"/>
      <c r="AG52" s="124"/>
      <c r="AH52" s="126"/>
    </row>
    <row r="53" spans="2:37" x14ac:dyDescent="0.25">
      <c r="B53" s="13">
        <v>7790</v>
      </c>
      <c r="C53" s="13" t="s">
        <v>34</v>
      </c>
      <c r="D53" s="135"/>
      <c r="E53" s="138">
        <v>1800</v>
      </c>
      <c r="F53" s="135"/>
      <c r="G53" s="135"/>
      <c r="H53" s="135"/>
      <c r="I53" s="135">
        <f t="shared" si="13"/>
        <v>0</v>
      </c>
      <c r="J53" s="138">
        <v>-750</v>
      </c>
      <c r="K53" s="138">
        <f t="shared" si="10"/>
        <v>445</v>
      </c>
      <c r="L53" s="138">
        <v>0</v>
      </c>
      <c r="M53" s="138">
        <f t="shared" si="11"/>
        <v>6000</v>
      </c>
      <c r="N53" s="138">
        <f t="shared" si="12"/>
        <v>1000</v>
      </c>
      <c r="O53" s="135"/>
      <c r="P53" s="201">
        <v>1000</v>
      </c>
      <c r="Q53" s="201"/>
      <c r="R53" s="201">
        <v>1000</v>
      </c>
      <c r="S53" s="201"/>
      <c r="T53" s="124">
        <v>5000</v>
      </c>
      <c r="U53" s="124"/>
      <c r="V53" s="124"/>
      <c r="W53" s="124"/>
      <c r="X53" s="124"/>
      <c r="Y53" s="124"/>
      <c r="Z53" s="124"/>
      <c r="AA53" s="124">
        <v>445</v>
      </c>
      <c r="AB53" s="182"/>
      <c r="AC53" s="182"/>
      <c r="AD53" s="182"/>
      <c r="AE53" s="182"/>
      <c r="AF53" s="182"/>
      <c r="AG53" s="124"/>
      <c r="AH53" s="126"/>
    </row>
    <row r="54" spans="2:37" x14ac:dyDescent="0.25">
      <c r="B54" s="13">
        <v>6010</v>
      </c>
      <c r="C54" s="136" t="s">
        <v>35</v>
      </c>
      <c r="D54" s="135"/>
      <c r="E54" s="138">
        <v>0</v>
      </c>
      <c r="F54" s="135"/>
      <c r="G54" s="135"/>
      <c r="H54" s="135"/>
      <c r="I54" s="135">
        <f t="shared" si="13"/>
        <v>0</v>
      </c>
      <c r="J54" s="138">
        <v>0</v>
      </c>
      <c r="K54" s="138">
        <f t="shared" si="10"/>
        <v>0</v>
      </c>
      <c r="L54" s="138"/>
      <c r="M54" s="138">
        <f t="shared" si="11"/>
        <v>0</v>
      </c>
      <c r="N54" s="138">
        <f t="shared" si="12"/>
        <v>0</v>
      </c>
      <c r="O54" s="135"/>
      <c r="P54" s="201"/>
      <c r="Q54" s="201"/>
      <c r="R54" s="201"/>
      <c r="S54" s="201"/>
      <c r="T54" s="124"/>
      <c r="U54" s="124"/>
      <c r="V54" s="124"/>
      <c r="W54" s="124"/>
      <c r="X54" s="124"/>
      <c r="Y54" s="124"/>
      <c r="Z54" s="124"/>
      <c r="AA54" s="124"/>
      <c r="AB54" s="182"/>
      <c r="AC54" s="182"/>
      <c r="AD54" s="182"/>
      <c r="AE54" s="182"/>
      <c r="AF54" s="182"/>
      <c r="AG54" s="124"/>
      <c r="AH54" s="126"/>
    </row>
    <row r="55" spans="2:37" x14ac:dyDescent="0.25">
      <c r="B55" s="13"/>
      <c r="C55" s="26" t="s">
        <v>36</v>
      </c>
      <c r="D55" s="141">
        <f>SUM(D23:D54)</f>
        <v>298635.19</v>
      </c>
      <c r="E55" s="141">
        <f>SUM(E23:E54)</f>
        <v>555028</v>
      </c>
      <c r="F55" s="141" t="e">
        <f t="shared" ref="F55:N55" si="14">SUM(F23:F54)</f>
        <v>#REF!</v>
      </c>
      <c r="G55" s="141" t="e">
        <f t="shared" si="14"/>
        <v>#REF!</v>
      </c>
      <c r="H55" s="141" t="e">
        <f t="shared" si="14"/>
        <v>#REF!</v>
      </c>
      <c r="I55" s="141" t="e">
        <f t="shared" si="14"/>
        <v>#REF!</v>
      </c>
      <c r="J55" s="141">
        <f t="shared" si="14"/>
        <v>1015696</v>
      </c>
      <c r="K55" s="141">
        <f>SUM(K23:K54)</f>
        <v>455653.87</v>
      </c>
      <c r="L55" s="141">
        <f t="shared" si="14"/>
        <v>738000</v>
      </c>
      <c r="M55" s="141">
        <f t="shared" si="14"/>
        <v>448199</v>
      </c>
      <c r="N55" s="141">
        <f t="shared" si="14"/>
        <v>313350</v>
      </c>
      <c r="O55" s="141"/>
      <c r="P55" s="141">
        <f t="shared" ref="P55:Y55" si="15">SUM(P23:P54)</f>
        <v>138000</v>
      </c>
      <c r="Q55" s="141">
        <f>SUM(Q23:Q54)</f>
        <v>104247.97</v>
      </c>
      <c r="R55" s="141">
        <f t="shared" ref="R55:S55" si="16">SUM(R23:R54)</f>
        <v>110000</v>
      </c>
      <c r="S55" s="141">
        <f t="shared" si="16"/>
        <v>0</v>
      </c>
      <c r="T55" s="141">
        <f t="shared" si="15"/>
        <v>63900</v>
      </c>
      <c r="U55" s="141">
        <f t="shared" si="15"/>
        <v>105441</v>
      </c>
      <c r="V55" s="141">
        <f t="shared" si="15"/>
        <v>82446.5</v>
      </c>
      <c r="W55" s="141">
        <f t="shared" si="15"/>
        <v>53899</v>
      </c>
      <c r="X55" s="141">
        <f t="shared" si="15"/>
        <v>54000</v>
      </c>
      <c r="Y55" s="141">
        <f t="shared" si="15"/>
        <v>0</v>
      </c>
      <c r="Z55" s="141">
        <f t="shared" ref="Z55:AB55" si="17">SUM(Z23:Z54)</f>
        <v>112000</v>
      </c>
      <c r="AA55" s="141">
        <f t="shared" si="17"/>
        <v>100119.4</v>
      </c>
      <c r="AB55" s="141">
        <f t="shared" si="17"/>
        <v>85000</v>
      </c>
      <c r="AC55" s="183">
        <f t="shared" ref="AC55" si="18">SUM(AC23:AC54)</f>
        <v>103000</v>
      </c>
      <c r="AD55" s="183">
        <f t="shared" ref="AD55:AG55" si="19">SUM(AD23:AD54)</f>
        <v>101929</v>
      </c>
      <c r="AE55" s="183">
        <f t="shared" si="19"/>
        <v>63399</v>
      </c>
      <c r="AF55" s="183">
        <f t="shared" si="19"/>
        <v>80400</v>
      </c>
      <c r="AG55" s="183">
        <f t="shared" si="19"/>
        <v>64350</v>
      </c>
      <c r="AH55" s="208"/>
    </row>
    <row r="56" spans="2:37" x14ac:dyDescent="0.25">
      <c r="B56" s="13"/>
      <c r="C56" s="33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201"/>
      <c r="Q56" s="201"/>
      <c r="R56" s="201"/>
      <c r="S56" s="201"/>
      <c r="T56" s="124"/>
      <c r="U56" s="124"/>
      <c r="V56" s="124"/>
      <c r="W56" s="124"/>
      <c r="X56" s="124"/>
      <c r="Y56" s="124"/>
      <c r="Z56" s="124"/>
      <c r="AA56" s="124"/>
      <c r="AB56" s="182"/>
      <c r="AC56" s="182"/>
      <c r="AD56" s="182"/>
      <c r="AE56" s="182"/>
      <c r="AF56" s="182"/>
      <c r="AG56" s="124"/>
      <c r="AH56" s="208"/>
    </row>
    <row r="57" spans="2:37" x14ac:dyDescent="0.25">
      <c r="B57" s="13"/>
      <c r="C57" s="26" t="s">
        <v>38</v>
      </c>
      <c r="D57" s="141">
        <f>(D21-D55)</f>
        <v>77096.609999999986</v>
      </c>
      <c r="E57" s="141">
        <f>(E21-E55)</f>
        <v>46047</v>
      </c>
      <c r="F57" s="141" t="e">
        <f t="shared" ref="F57:N57" si="20">(F21-F55)</f>
        <v>#REF!</v>
      </c>
      <c r="G57" s="141" t="e">
        <f t="shared" si="20"/>
        <v>#REF!</v>
      </c>
      <c r="H57" s="141" t="e">
        <f t="shared" si="20"/>
        <v>#REF!</v>
      </c>
      <c r="I57" s="141" t="e">
        <f t="shared" si="20"/>
        <v>#REF!</v>
      </c>
      <c r="J57" s="141">
        <f t="shared" si="20"/>
        <v>24696</v>
      </c>
      <c r="K57" s="141">
        <f>(K21-K55)</f>
        <v>41944.130000000005</v>
      </c>
      <c r="L57" s="141">
        <f t="shared" si="20"/>
        <v>2000</v>
      </c>
      <c r="M57" s="141">
        <f t="shared" si="20"/>
        <v>13201</v>
      </c>
      <c r="N57" s="141">
        <f t="shared" si="20"/>
        <v>25900</v>
      </c>
      <c r="O57" s="141"/>
      <c r="P57" s="141">
        <f t="shared" ref="P57:AG57" si="21">(P21-P55)</f>
        <v>1000</v>
      </c>
      <c r="Q57" s="141">
        <f>(Q21-Q55)</f>
        <v>48928.03</v>
      </c>
      <c r="R57" s="141">
        <f t="shared" ref="R57:S57" si="22">(R21-R55)</f>
        <v>4750</v>
      </c>
      <c r="S57" s="141">
        <f t="shared" si="22"/>
        <v>0</v>
      </c>
      <c r="T57" s="141">
        <f t="shared" si="21"/>
        <v>100</v>
      </c>
      <c r="U57" s="141">
        <f t="shared" si="21"/>
        <v>-33102</v>
      </c>
      <c r="V57" s="141">
        <f t="shared" si="21"/>
        <v>-0.5</v>
      </c>
      <c r="W57" s="141">
        <f t="shared" si="21"/>
        <v>5601</v>
      </c>
      <c r="X57" s="141">
        <f t="shared" si="21"/>
        <v>5500</v>
      </c>
      <c r="Y57" s="141">
        <f t="shared" si="21"/>
        <v>0</v>
      </c>
      <c r="Z57" s="141">
        <f t="shared" si="21"/>
        <v>5000</v>
      </c>
      <c r="AA57" s="141">
        <f t="shared" si="21"/>
        <v>8792.6000000000058</v>
      </c>
      <c r="AB57" s="141">
        <f t="shared" si="21"/>
        <v>15000</v>
      </c>
      <c r="AC57" s="183">
        <f t="shared" ref="AC57" si="23">(AC21-AC55)</f>
        <v>0</v>
      </c>
      <c r="AD57" s="183">
        <f t="shared" si="21"/>
        <v>-11929</v>
      </c>
      <c r="AE57" s="183">
        <f t="shared" si="21"/>
        <v>17126</v>
      </c>
      <c r="AF57" s="183">
        <f t="shared" si="21"/>
        <v>1500</v>
      </c>
      <c r="AG57" s="183">
        <f t="shared" si="21"/>
        <v>650</v>
      </c>
      <c r="AH57" s="208"/>
    </row>
    <row r="58" spans="2:37" x14ac:dyDescent="0.25"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202"/>
      <c r="Q58" s="202"/>
      <c r="R58" s="202"/>
      <c r="S58" s="202"/>
      <c r="T58" s="137"/>
      <c r="U58" s="137"/>
      <c r="V58" s="137"/>
      <c r="W58" s="137"/>
      <c r="X58" s="137"/>
      <c r="Y58" s="137"/>
      <c r="Z58" s="137"/>
      <c r="AA58" s="137"/>
      <c r="AB58" s="184"/>
      <c r="AC58" s="184"/>
      <c r="AD58" s="184"/>
      <c r="AE58" s="184"/>
      <c r="AF58" s="184"/>
      <c r="AG58" s="137"/>
      <c r="AH58" s="209"/>
    </row>
    <row r="59" spans="2:37" x14ac:dyDescent="0.25">
      <c r="B59" s="136"/>
      <c r="C59" s="24" t="s">
        <v>49</v>
      </c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202"/>
      <c r="Q59" s="202"/>
      <c r="R59" s="202"/>
      <c r="S59" s="202"/>
      <c r="T59" s="137"/>
      <c r="U59" s="137"/>
      <c r="V59" s="137"/>
      <c r="W59" s="137"/>
      <c r="X59" s="137"/>
      <c r="Y59" s="137"/>
      <c r="Z59" s="137"/>
      <c r="AA59" s="137"/>
      <c r="AB59" s="184"/>
      <c r="AC59" s="184"/>
      <c r="AD59" s="184"/>
      <c r="AE59" s="184"/>
      <c r="AF59" s="184"/>
      <c r="AG59" s="137"/>
      <c r="AH59" s="210"/>
    </row>
    <row r="60" spans="2:37" x14ac:dyDescent="0.25">
      <c r="B60" s="136"/>
      <c r="C60" s="136" t="s">
        <v>50</v>
      </c>
      <c r="D60" s="137">
        <f>47.46+1.05</f>
        <v>48.51</v>
      </c>
      <c r="E60" s="137">
        <v>67</v>
      </c>
      <c r="F60" s="137"/>
      <c r="G60" s="137"/>
      <c r="H60" s="137"/>
      <c r="I60" s="137"/>
      <c r="J60" s="138">
        <v>71</v>
      </c>
      <c r="K60" s="138"/>
      <c r="L60" s="137"/>
      <c r="M60" s="137"/>
      <c r="N60" s="137"/>
      <c r="O60" s="137"/>
      <c r="P60" s="202"/>
      <c r="Q60" s="202"/>
      <c r="R60" s="202"/>
      <c r="S60" s="202"/>
      <c r="T60" s="137"/>
      <c r="U60" s="137"/>
      <c r="V60" s="137"/>
      <c r="W60" s="137"/>
      <c r="X60" s="137"/>
      <c r="Y60" s="137"/>
      <c r="Z60" s="137"/>
      <c r="AA60" s="137"/>
      <c r="AB60" s="184"/>
      <c r="AC60" s="184"/>
      <c r="AD60" s="184"/>
      <c r="AE60" s="184"/>
      <c r="AF60" s="184"/>
      <c r="AG60" s="137"/>
      <c r="AH60" s="207"/>
    </row>
    <row r="61" spans="2:37" x14ac:dyDescent="0.25">
      <c r="B61" s="136"/>
      <c r="C61" s="136" t="s">
        <v>52</v>
      </c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202"/>
      <c r="Q61" s="202"/>
      <c r="R61" s="202"/>
      <c r="S61" s="202"/>
      <c r="T61" s="137"/>
      <c r="U61" s="137"/>
      <c r="V61" s="137"/>
      <c r="W61" s="137"/>
      <c r="X61" s="137"/>
      <c r="Y61" s="137"/>
      <c r="Z61" s="137"/>
      <c r="AA61" s="137"/>
      <c r="AB61" s="184"/>
      <c r="AC61" s="184"/>
      <c r="AD61" s="184"/>
      <c r="AE61" s="184"/>
      <c r="AF61" s="184"/>
      <c r="AG61" s="137"/>
      <c r="AH61" s="126"/>
    </row>
    <row r="62" spans="2:37" x14ac:dyDescent="0.25">
      <c r="B62" s="136"/>
      <c r="C62" s="34" t="s">
        <v>53</v>
      </c>
      <c r="D62" s="142">
        <f t="shared" ref="D62" si="24">D60-D61</f>
        <v>48.51</v>
      </c>
      <c r="E62" s="142">
        <f t="shared" ref="E62:AE62" si="25">E60-E61</f>
        <v>67</v>
      </c>
      <c r="F62" s="142">
        <f t="shared" si="25"/>
        <v>0</v>
      </c>
      <c r="G62" s="142">
        <f t="shared" si="25"/>
        <v>0</v>
      </c>
      <c r="H62" s="142">
        <f t="shared" si="25"/>
        <v>0</v>
      </c>
      <c r="I62" s="142">
        <f t="shared" si="25"/>
        <v>0</v>
      </c>
      <c r="J62" s="142">
        <f t="shared" si="25"/>
        <v>71</v>
      </c>
      <c r="K62" s="142"/>
      <c r="L62" s="142">
        <f t="shared" si="25"/>
        <v>0</v>
      </c>
      <c r="M62" s="142">
        <f t="shared" si="25"/>
        <v>0</v>
      </c>
      <c r="N62" s="142">
        <f t="shared" si="25"/>
        <v>0</v>
      </c>
      <c r="O62" s="142">
        <f t="shared" si="25"/>
        <v>0</v>
      </c>
      <c r="P62" s="142"/>
      <c r="Q62" s="142"/>
      <c r="R62" s="142"/>
      <c r="S62" s="142"/>
      <c r="T62" s="142">
        <f t="shared" si="25"/>
        <v>0</v>
      </c>
      <c r="U62" s="142">
        <f t="shared" si="25"/>
        <v>0</v>
      </c>
      <c r="V62" s="142">
        <f t="shared" si="25"/>
        <v>0</v>
      </c>
      <c r="W62" s="142">
        <f t="shared" si="25"/>
        <v>0</v>
      </c>
      <c r="X62" s="142">
        <f t="shared" si="25"/>
        <v>0</v>
      </c>
      <c r="Y62" s="142">
        <f t="shared" si="25"/>
        <v>0</v>
      </c>
      <c r="Z62" s="142">
        <f t="shared" si="25"/>
        <v>0</v>
      </c>
      <c r="AA62" s="142">
        <f t="shared" si="25"/>
        <v>0</v>
      </c>
      <c r="AB62" s="142">
        <f t="shared" si="25"/>
        <v>0</v>
      </c>
      <c r="AC62" s="142">
        <f t="shared" ref="AC62" si="26">AC60-AC61</f>
        <v>0</v>
      </c>
      <c r="AD62" s="205">
        <f t="shared" si="25"/>
        <v>0</v>
      </c>
      <c r="AE62" s="205">
        <f t="shared" si="25"/>
        <v>0</v>
      </c>
      <c r="AF62" s="205">
        <v>0</v>
      </c>
      <c r="AG62" s="205">
        <v>0</v>
      </c>
      <c r="AH62" s="120"/>
    </row>
    <row r="63" spans="2:37" x14ac:dyDescent="0.25">
      <c r="B63" s="136"/>
      <c r="C63" s="136"/>
      <c r="D63" s="137"/>
      <c r="E63" s="137"/>
      <c r="F63" s="137"/>
      <c r="G63" s="137"/>
      <c r="H63" s="137"/>
      <c r="I63" s="137"/>
      <c r="J63" s="137"/>
      <c r="K63" s="137"/>
      <c r="L63" s="185"/>
      <c r="M63" s="185"/>
      <c r="N63" s="185"/>
      <c r="O63" s="137"/>
      <c r="P63" s="202"/>
      <c r="Q63" s="202"/>
      <c r="R63" s="202"/>
      <c r="S63" s="202"/>
      <c r="T63" s="137"/>
      <c r="U63" s="137"/>
      <c r="V63" s="137"/>
      <c r="W63" s="137"/>
      <c r="X63" s="137"/>
      <c r="Y63" s="137"/>
      <c r="Z63" s="137"/>
      <c r="AA63" s="137"/>
      <c r="AB63" s="184"/>
      <c r="AC63" s="184"/>
      <c r="AD63" s="184"/>
      <c r="AE63" s="184"/>
      <c r="AF63" s="184"/>
      <c r="AG63" s="137"/>
      <c r="AH63" s="210"/>
    </row>
    <row r="64" spans="2:37" x14ac:dyDescent="0.25">
      <c r="B64" s="136"/>
      <c r="C64" s="36" t="s">
        <v>37</v>
      </c>
      <c r="D64" s="143">
        <f t="shared" ref="D64" si="27">D57+D62</f>
        <v>77145.119999999981</v>
      </c>
      <c r="E64" s="143">
        <f t="shared" ref="E64:H64" si="28">E57+E62</f>
        <v>46114</v>
      </c>
      <c r="F64" s="143" t="e">
        <f t="shared" si="28"/>
        <v>#REF!</v>
      </c>
      <c r="G64" s="143" t="e">
        <f t="shared" si="28"/>
        <v>#REF!</v>
      </c>
      <c r="H64" s="143" t="e">
        <f t="shared" si="28"/>
        <v>#REF!</v>
      </c>
      <c r="I64" s="143" t="e">
        <f>I57+I62</f>
        <v>#REF!</v>
      </c>
      <c r="J64" s="143">
        <f>J57+J62</f>
        <v>24767</v>
      </c>
      <c r="K64" s="143">
        <f>K57+K62</f>
        <v>41944.130000000005</v>
      </c>
      <c r="L64" s="143">
        <f>L57+O63</f>
        <v>2000</v>
      </c>
      <c r="M64" s="143">
        <f>M57+P63</f>
        <v>13201</v>
      </c>
      <c r="N64" s="143">
        <f t="shared" ref="N64:O64" si="29">N57+Q63</f>
        <v>25900</v>
      </c>
      <c r="O64" s="143">
        <f t="shared" si="29"/>
        <v>0</v>
      </c>
      <c r="P64" s="143">
        <f>P57+S63</f>
        <v>1000</v>
      </c>
      <c r="Q64" s="143">
        <f>Q57+T63</f>
        <v>48928.03</v>
      </c>
      <c r="R64" s="143">
        <f t="shared" ref="R64:S64" si="30">R57+U63</f>
        <v>4750</v>
      </c>
      <c r="S64" s="143">
        <f t="shared" si="30"/>
        <v>0</v>
      </c>
      <c r="T64" s="143">
        <f>T57+Z63</f>
        <v>100</v>
      </c>
      <c r="U64" s="143">
        <f>U57+AA63</f>
        <v>-33102</v>
      </c>
      <c r="V64" s="143">
        <f t="shared" ref="V64:Y64" si="31">V57+AB63</f>
        <v>-0.5</v>
      </c>
      <c r="W64" s="143">
        <f t="shared" si="31"/>
        <v>5601</v>
      </c>
      <c r="X64" s="143">
        <f t="shared" si="31"/>
        <v>5500</v>
      </c>
      <c r="Y64" s="143">
        <f t="shared" si="31"/>
        <v>0</v>
      </c>
      <c r="Z64" s="143">
        <f>Z57+AB63</f>
        <v>5000</v>
      </c>
      <c r="AA64" s="143">
        <f>AA57+AC63</f>
        <v>8792.6000000000058</v>
      </c>
      <c r="AB64" s="143">
        <f>AB57+AD63</f>
        <v>15000</v>
      </c>
      <c r="AC64" s="143">
        <f t="shared" ref="AC64" si="32">AC57+AD63</f>
        <v>0</v>
      </c>
      <c r="AD64" s="206">
        <f>AD57+AH63</f>
        <v>-11929</v>
      </c>
      <c r="AE64" s="206">
        <f>AE57+AI63</f>
        <v>17126</v>
      </c>
      <c r="AF64" s="206">
        <f>AF57+AI63</f>
        <v>1500</v>
      </c>
      <c r="AG64" s="206">
        <f>AG57+AJ63</f>
        <v>650</v>
      </c>
      <c r="AH64" s="211"/>
    </row>
    <row r="65" spans="3:33" x14ac:dyDescent="0.25">
      <c r="K65" s="4">
        <f>Q64+U64+V64+AA64+AE64</f>
        <v>41744.130000000005</v>
      </c>
    </row>
    <row r="66" spans="3:33" x14ac:dyDescent="0.25">
      <c r="C66" t="s">
        <v>123</v>
      </c>
      <c r="J66" s="204" t="s">
        <v>125</v>
      </c>
      <c r="K66" s="204"/>
      <c r="L66" s="204"/>
      <c r="M66" s="204"/>
      <c r="N66" s="204"/>
      <c r="O66" s="204"/>
      <c r="P66" s="204"/>
      <c r="Q66" s="204">
        <f>-11378.03-8900-2750-6150-6050-3950-9750</f>
        <v>-48928.03</v>
      </c>
      <c r="R66" s="204"/>
      <c r="S66" s="204"/>
      <c r="T66" s="204"/>
      <c r="U66" s="204" t="s">
        <v>178</v>
      </c>
      <c r="V66" s="204" t="s">
        <v>179</v>
      </c>
      <c r="W66" s="204"/>
      <c r="X66" s="204"/>
      <c r="Y66" s="204"/>
      <c r="Z66" s="204"/>
      <c r="AA66" s="204" t="s">
        <v>177</v>
      </c>
      <c r="AB66" s="204"/>
      <c r="AC66" s="204"/>
      <c r="AD66" s="204" t="s">
        <v>130</v>
      </c>
      <c r="AE66" s="204" t="s">
        <v>124</v>
      </c>
      <c r="AF66" s="204"/>
      <c r="AG66" s="204"/>
    </row>
    <row r="67" spans="3:33" x14ac:dyDescent="0.25">
      <c r="Q67" s="4">
        <f>Q64+Q66</f>
        <v>0</v>
      </c>
    </row>
    <row r="68" spans="3:33" x14ac:dyDescent="0.25">
      <c r="C68" s="60" t="s">
        <v>127</v>
      </c>
    </row>
    <row r="69" spans="3:33" x14ac:dyDescent="0.25">
      <c r="C69" t="s">
        <v>130</v>
      </c>
    </row>
    <row r="70" spans="3:33" x14ac:dyDescent="0.25">
      <c r="C70" t="s">
        <v>130</v>
      </c>
    </row>
  </sheetData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workbookViewId="0">
      <pane xSplit="2" ySplit="3" topLeftCell="C45" activePane="bottomRight" state="frozen"/>
      <selection pane="topRight" activeCell="C1" sqref="C1"/>
      <selection pane="bottomLeft" activeCell="A4" sqref="A4"/>
      <selection pane="bottomRight" activeCell="B63" sqref="B63"/>
    </sheetView>
  </sheetViews>
  <sheetFormatPr baseColWidth="10" defaultRowHeight="15" x14ac:dyDescent="0.25"/>
  <cols>
    <col min="1" max="1" width="8.140625" customWidth="1"/>
    <col min="2" max="2" width="27" customWidth="1"/>
    <col min="3" max="3" width="8" style="144" customWidth="1"/>
    <col min="4" max="4" width="14.5703125" bestFit="1" customWidth="1"/>
    <col min="5" max="5" width="15.7109375" customWidth="1"/>
    <col min="6" max="6" width="15.7109375" bestFit="1" customWidth="1"/>
    <col min="7" max="7" width="13.28515625" bestFit="1" customWidth="1"/>
    <col min="8" max="8" width="15.7109375" style="144" customWidth="1"/>
    <col min="9" max="10" width="13.28515625" style="144" customWidth="1"/>
  </cols>
  <sheetData>
    <row r="1" spans="1:12" ht="23.25" x14ac:dyDescent="0.35">
      <c r="B1" s="1" t="s">
        <v>142</v>
      </c>
      <c r="C1" s="1"/>
      <c r="D1" s="2"/>
      <c r="E1" s="3"/>
      <c r="F1" s="3"/>
      <c r="G1" s="3"/>
      <c r="H1" s="3"/>
      <c r="I1" s="3"/>
      <c r="J1" s="3"/>
    </row>
    <row r="2" spans="1:12" ht="23.25" x14ac:dyDescent="0.35">
      <c r="B2" s="1"/>
      <c r="C2" s="1"/>
      <c r="D2" s="2"/>
      <c r="E2" s="3"/>
      <c r="F2" s="3"/>
      <c r="G2" s="3"/>
      <c r="H2" s="3"/>
      <c r="I2" s="3"/>
      <c r="J2" s="3"/>
    </row>
    <row r="3" spans="1:12" x14ac:dyDescent="0.25">
      <c r="A3" s="27" t="s">
        <v>0</v>
      </c>
      <c r="B3" s="26" t="s">
        <v>1</v>
      </c>
      <c r="C3" s="169" t="s">
        <v>77</v>
      </c>
      <c r="D3" s="27" t="s">
        <v>89</v>
      </c>
      <c r="E3" s="27" t="s">
        <v>112</v>
      </c>
      <c r="F3" s="27" t="s">
        <v>136</v>
      </c>
      <c r="G3" s="27" t="s">
        <v>108</v>
      </c>
      <c r="H3" s="27" t="s">
        <v>138</v>
      </c>
      <c r="I3" s="27" t="s">
        <v>128</v>
      </c>
      <c r="J3" s="27" t="s">
        <v>167</v>
      </c>
      <c r="L3" s="15"/>
    </row>
    <row r="4" spans="1:12" x14ac:dyDescent="0.25">
      <c r="A4" s="13">
        <v>3110</v>
      </c>
      <c r="B4" s="13" t="s">
        <v>2</v>
      </c>
      <c r="C4" s="170"/>
      <c r="D4" s="138"/>
      <c r="E4" s="121"/>
      <c r="F4" s="121"/>
      <c r="G4" s="117"/>
      <c r="H4" s="121"/>
      <c r="I4" s="121"/>
      <c r="J4" s="121"/>
      <c r="L4" s="17"/>
    </row>
    <row r="5" spans="1:12" x14ac:dyDescent="0.25">
      <c r="A5" s="13">
        <v>3115</v>
      </c>
      <c r="B5" s="13" t="s">
        <v>3</v>
      </c>
      <c r="C5" s="170"/>
      <c r="D5" s="138"/>
      <c r="E5" s="121"/>
      <c r="F5" s="121"/>
      <c r="G5" s="117"/>
      <c r="H5" s="121"/>
      <c r="I5" s="121"/>
      <c r="J5" s="121"/>
      <c r="L5" s="126"/>
    </row>
    <row r="6" spans="1:12" x14ac:dyDescent="0.25">
      <c r="A6" s="13">
        <v>3400</v>
      </c>
      <c r="B6" s="13" t="s">
        <v>4</v>
      </c>
      <c r="C6" s="170"/>
      <c r="D6" s="138"/>
      <c r="E6" s="121">
        <f>1000</f>
        <v>1000</v>
      </c>
      <c r="F6" s="121">
        <v>1000</v>
      </c>
      <c r="G6" s="117"/>
      <c r="H6" s="121"/>
      <c r="I6" s="121"/>
      <c r="J6" s="121"/>
      <c r="L6" s="126"/>
    </row>
    <row r="7" spans="1:12" x14ac:dyDescent="0.25">
      <c r="A7" s="13">
        <v>3440</v>
      </c>
      <c r="B7" s="13" t="s">
        <v>55</v>
      </c>
      <c r="C7" s="170"/>
      <c r="D7" s="138"/>
      <c r="E7" s="121"/>
      <c r="F7" s="121"/>
      <c r="G7" s="117"/>
      <c r="H7" s="121"/>
      <c r="I7" s="121"/>
      <c r="J7" s="121"/>
      <c r="L7" s="126"/>
    </row>
    <row r="8" spans="1:12" x14ac:dyDescent="0.25">
      <c r="A8" s="13">
        <v>3605</v>
      </c>
      <c r="B8" s="13" t="s">
        <v>5</v>
      </c>
      <c r="C8" s="170"/>
      <c r="D8" s="138"/>
      <c r="E8" s="116"/>
      <c r="F8" s="116"/>
      <c r="G8" s="116"/>
      <c r="H8" s="116"/>
      <c r="I8" s="116"/>
      <c r="J8" s="116"/>
      <c r="L8" s="126"/>
    </row>
    <row r="9" spans="1:12" x14ac:dyDescent="0.25">
      <c r="A9" s="13">
        <v>3620</v>
      </c>
      <c r="B9" s="23" t="s">
        <v>91</v>
      </c>
      <c r="C9" s="172"/>
      <c r="D9" s="138"/>
      <c r="E9" s="123"/>
      <c r="F9" s="123"/>
      <c r="G9" s="118"/>
      <c r="H9" s="123"/>
      <c r="I9" s="123"/>
      <c r="J9" s="123"/>
      <c r="L9" s="126"/>
    </row>
    <row r="10" spans="1:12" x14ac:dyDescent="0.25">
      <c r="A10" s="13">
        <v>3920</v>
      </c>
      <c r="B10" s="13" t="s">
        <v>6</v>
      </c>
      <c r="C10" s="170"/>
      <c r="D10" s="138"/>
      <c r="E10" s="123"/>
      <c r="F10" s="123"/>
      <c r="G10" s="118"/>
      <c r="H10" s="123"/>
      <c r="I10" s="123"/>
      <c r="J10" s="123"/>
      <c r="L10" s="126"/>
    </row>
    <row r="11" spans="1:12" x14ac:dyDescent="0.25">
      <c r="A11" s="13">
        <v>3925</v>
      </c>
      <c r="B11" s="13" t="s">
        <v>7</v>
      </c>
      <c r="C11" s="170"/>
      <c r="D11" s="138"/>
      <c r="E11" s="123"/>
      <c r="F11" s="123"/>
      <c r="G11" s="118"/>
      <c r="H11" s="123"/>
      <c r="I11" s="123"/>
      <c r="J11" s="123"/>
      <c r="L11" s="126"/>
    </row>
    <row r="12" spans="1:12" x14ac:dyDescent="0.25">
      <c r="A12" s="13">
        <v>3926</v>
      </c>
      <c r="B12" s="23" t="s">
        <v>13</v>
      </c>
      <c r="C12" s="172"/>
      <c r="D12" s="138"/>
      <c r="E12" s="123"/>
      <c r="F12" s="123"/>
      <c r="G12" s="118"/>
      <c r="H12" s="123"/>
      <c r="I12" s="123"/>
      <c r="J12" s="123"/>
      <c r="L12" s="126"/>
    </row>
    <row r="13" spans="1:12" x14ac:dyDescent="0.25">
      <c r="A13" s="13">
        <v>3950</v>
      </c>
      <c r="B13" s="13" t="s">
        <v>9</v>
      </c>
      <c r="C13" s="170"/>
      <c r="D13" s="138">
        <v>68970</v>
      </c>
      <c r="E13" s="123">
        <v>51861</v>
      </c>
      <c r="F13" s="123">
        <v>50163</v>
      </c>
      <c r="G13" s="118">
        <v>60000</v>
      </c>
      <c r="H13" s="123"/>
      <c r="I13" s="123">
        <v>45000</v>
      </c>
      <c r="J13" s="123"/>
      <c r="L13" s="126"/>
    </row>
    <row r="14" spans="1:12" x14ac:dyDescent="0.25">
      <c r="A14" s="13">
        <v>3970</v>
      </c>
      <c r="B14" s="13" t="s">
        <v>10</v>
      </c>
      <c r="C14" s="170"/>
      <c r="D14" s="138">
        <v>5000</v>
      </c>
      <c r="E14" s="121"/>
      <c r="F14" s="121"/>
      <c r="G14" s="121">
        <v>15000</v>
      </c>
      <c r="H14" s="121"/>
      <c r="I14" s="121"/>
      <c r="J14" s="121"/>
      <c r="L14" s="126"/>
    </row>
    <row r="15" spans="1:12" x14ac:dyDescent="0.25">
      <c r="A15" s="13">
        <v>3975</v>
      </c>
      <c r="B15" s="13" t="s">
        <v>11</v>
      </c>
      <c r="C15" s="170"/>
      <c r="D15" s="138">
        <v>600</v>
      </c>
      <c r="E15" s="121"/>
      <c r="F15" s="121">
        <v>0</v>
      </c>
      <c r="G15" s="121"/>
      <c r="H15" s="121"/>
      <c r="I15" s="121"/>
      <c r="J15" s="121"/>
      <c r="L15" s="126"/>
    </row>
    <row r="16" spans="1:12" x14ac:dyDescent="0.25">
      <c r="A16" s="13">
        <v>3980</v>
      </c>
      <c r="B16" s="13" t="s">
        <v>12</v>
      </c>
      <c r="C16" s="170"/>
      <c r="D16" s="138"/>
      <c r="E16" s="121"/>
      <c r="F16" s="121"/>
      <c r="G16" s="121"/>
      <c r="H16" s="121"/>
      <c r="I16" s="121"/>
      <c r="J16" s="121"/>
      <c r="L16" s="126"/>
    </row>
    <row r="17" spans="1:12" x14ac:dyDescent="0.25">
      <c r="A17" s="13">
        <v>3990</v>
      </c>
      <c r="B17" s="23" t="s">
        <v>8</v>
      </c>
      <c r="C17" s="172"/>
      <c r="D17" s="138"/>
      <c r="E17" s="121">
        <v>22680</v>
      </c>
      <c r="F17" s="121"/>
      <c r="G17" s="121"/>
      <c r="H17" s="121"/>
      <c r="I17" s="121"/>
      <c r="J17" s="121"/>
      <c r="L17" s="126"/>
    </row>
    <row r="18" spans="1:12" x14ac:dyDescent="0.25">
      <c r="A18" s="13"/>
      <c r="B18" s="30" t="s">
        <v>14</v>
      </c>
      <c r="C18" s="173"/>
      <c r="D18" s="140">
        <f t="shared" ref="D18:I18" si="0">SUM(D4:D17)</f>
        <v>74570</v>
      </c>
      <c r="E18" s="140">
        <f t="shared" si="0"/>
        <v>75541</v>
      </c>
      <c r="F18" s="140">
        <f t="shared" si="0"/>
        <v>51163</v>
      </c>
      <c r="G18" s="31">
        <f>SUM(G4:G17)</f>
        <v>75000</v>
      </c>
      <c r="H18" s="140"/>
      <c r="I18" s="140">
        <f t="shared" si="0"/>
        <v>45000</v>
      </c>
      <c r="J18" s="140"/>
      <c r="L18" s="126"/>
    </row>
    <row r="19" spans="1:12" x14ac:dyDescent="0.25">
      <c r="A19" s="13"/>
      <c r="B19" s="12" t="s">
        <v>15</v>
      </c>
      <c r="C19" s="174"/>
      <c r="D19" s="135"/>
      <c r="E19" s="123"/>
      <c r="F19" s="123"/>
      <c r="G19" s="123"/>
      <c r="H19" s="123"/>
      <c r="I19" s="123"/>
      <c r="J19" s="123"/>
      <c r="L19" s="126"/>
    </row>
    <row r="20" spans="1:12" x14ac:dyDescent="0.25">
      <c r="A20" s="13">
        <v>4210</v>
      </c>
      <c r="B20" s="13" t="s">
        <v>16</v>
      </c>
      <c r="C20" s="170"/>
      <c r="D20" s="135">
        <v>28382</v>
      </c>
      <c r="E20" s="123">
        <v>3042</v>
      </c>
      <c r="F20" s="123">
        <v>2061</v>
      </c>
      <c r="G20" s="123">
        <v>35000</v>
      </c>
      <c r="H20" s="123"/>
      <c r="I20" s="123">
        <v>10000</v>
      </c>
      <c r="J20" s="123"/>
      <c r="L20" s="126"/>
    </row>
    <row r="21" spans="1:12" x14ac:dyDescent="0.25">
      <c r="A21" s="13">
        <v>4220</v>
      </c>
      <c r="B21" s="13" t="s">
        <v>17</v>
      </c>
      <c r="C21" s="170"/>
      <c r="D21" s="135"/>
      <c r="E21" s="123"/>
      <c r="F21" s="123"/>
      <c r="G21" s="123"/>
      <c r="H21" s="123"/>
      <c r="I21" s="123"/>
      <c r="J21" s="123"/>
      <c r="L21" s="126"/>
    </row>
    <row r="22" spans="1:12" x14ac:dyDescent="0.25">
      <c r="A22" s="13">
        <v>4225</v>
      </c>
      <c r="B22" s="13" t="s">
        <v>19</v>
      </c>
      <c r="C22" s="170"/>
      <c r="D22" s="135"/>
      <c r="E22" s="123"/>
      <c r="F22" s="123"/>
      <c r="G22" s="123"/>
      <c r="H22" s="123"/>
      <c r="I22" s="123"/>
      <c r="J22" s="123"/>
      <c r="L22" s="126"/>
    </row>
    <row r="23" spans="1:12" x14ac:dyDescent="0.25">
      <c r="A23" s="13">
        <v>4300</v>
      </c>
      <c r="B23" s="13" t="s">
        <v>18</v>
      </c>
      <c r="C23" s="170"/>
      <c r="D23" s="135"/>
      <c r="E23" s="123"/>
      <c r="F23" s="123"/>
      <c r="G23" s="123"/>
      <c r="H23" s="123"/>
      <c r="I23" s="123"/>
      <c r="J23" s="123"/>
      <c r="L23" s="126"/>
    </row>
    <row r="24" spans="1:12" x14ac:dyDescent="0.25">
      <c r="A24" s="13">
        <v>5000</v>
      </c>
      <c r="B24" s="13" t="s">
        <v>20</v>
      </c>
      <c r="C24" s="170"/>
      <c r="D24" s="135"/>
      <c r="E24" s="123"/>
      <c r="F24" s="123"/>
      <c r="G24" s="123"/>
      <c r="H24" s="123"/>
      <c r="I24" s="123"/>
      <c r="J24" s="123"/>
      <c r="L24" s="126"/>
    </row>
    <row r="25" spans="1:12" x14ac:dyDescent="0.25">
      <c r="A25" s="13">
        <v>6315</v>
      </c>
      <c r="B25" s="13" t="s">
        <v>22</v>
      </c>
      <c r="C25" s="170"/>
      <c r="D25" s="135"/>
      <c r="E25" s="123"/>
      <c r="F25" s="123"/>
      <c r="G25" s="123"/>
      <c r="H25" s="123"/>
      <c r="I25" s="123"/>
      <c r="J25" s="123"/>
      <c r="L25" s="126"/>
    </row>
    <row r="26" spans="1:12" x14ac:dyDescent="0.25">
      <c r="A26" s="13">
        <v>6316</v>
      </c>
      <c r="B26" s="13" t="s">
        <v>39</v>
      </c>
      <c r="C26" s="170"/>
      <c r="D26" s="135"/>
      <c r="E26" s="123"/>
      <c r="F26" s="123"/>
      <c r="G26" s="123"/>
      <c r="H26" s="123"/>
      <c r="I26" s="123"/>
      <c r="J26" s="123"/>
      <c r="L26" s="126"/>
    </row>
    <row r="27" spans="1:12" x14ac:dyDescent="0.25">
      <c r="A27" s="13">
        <v>6320</v>
      </c>
      <c r="B27" s="13" t="s">
        <v>23</v>
      </c>
      <c r="C27" s="170"/>
      <c r="D27" s="135"/>
      <c r="E27" s="123"/>
      <c r="F27" s="123"/>
      <c r="G27" s="123"/>
      <c r="H27" s="123"/>
      <c r="I27" s="123"/>
      <c r="J27" s="123"/>
      <c r="L27" s="126"/>
    </row>
    <row r="28" spans="1:12" x14ac:dyDescent="0.25">
      <c r="A28" s="13">
        <v>6340</v>
      </c>
      <c r="B28" s="13" t="s">
        <v>41</v>
      </c>
      <c r="C28" s="170"/>
      <c r="D28" s="135"/>
      <c r="E28" s="123"/>
      <c r="F28" s="123"/>
      <c r="G28" s="123"/>
      <c r="H28" s="123"/>
      <c r="I28" s="123"/>
      <c r="J28" s="123"/>
      <c r="L28" s="126"/>
    </row>
    <row r="29" spans="1:12" x14ac:dyDescent="0.25">
      <c r="A29" s="13">
        <v>6340</v>
      </c>
      <c r="B29" s="13" t="s">
        <v>42</v>
      </c>
      <c r="C29" s="170"/>
      <c r="D29" s="135"/>
      <c r="E29" s="123"/>
      <c r="F29" s="123"/>
      <c r="G29" s="123"/>
      <c r="H29" s="123"/>
      <c r="I29" s="123"/>
      <c r="J29" s="123"/>
      <c r="L29" s="126"/>
    </row>
    <row r="30" spans="1:12" x14ac:dyDescent="0.25">
      <c r="A30" s="13">
        <v>6550</v>
      </c>
      <c r="B30" s="13" t="s">
        <v>40</v>
      </c>
      <c r="C30" s="170">
        <v>1</v>
      </c>
      <c r="D30" s="135"/>
      <c r="E30" s="123">
        <v>30006</v>
      </c>
      <c r="F30" s="123">
        <v>21275.5</v>
      </c>
      <c r="G30" s="123"/>
      <c r="H30" s="123"/>
      <c r="I30" s="123">
        <v>8500</v>
      </c>
      <c r="J30" s="123"/>
      <c r="L30" s="126"/>
    </row>
    <row r="31" spans="1:12" x14ac:dyDescent="0.25">
      <c r="A31" s="13">
        <v>6600</v>
      </c>
      <c r="B31" s="13" t="s">
        <v>24</v>
      </c>
      <c r="C31" s="170"/>
      <c r="D31" s="135"/>
      <c r="E31" s="123"/>
      <c r="F31" s="123"/>
      <c r="G31" s="123"/>
      <c r="H31" s="123"/>
      <c r="I31" s="123"/>
      <c r="J31" s="123"/>
      <c r="L31" s="126"/>
    </row>
    <row r="32" spans="1:12" x14ac:dyDescent="0.25">
      <c r="A32" s="13">
        <v>6620</v>
      </c>
      <c r="B32" s="13" t="s">
        <v>25</v>
      </c>
      <c r="C32" s="170"/>
      <c r="D32" s="135"/>
      <c r="E32" s="123"/>
      <c r="F32" s="123"/>
      <c r="G32" s="123"/>
      <c r="H32" s="123"/>
      <c r="I32" s="123"/>
      <c r="J32" s="123"/>
      <c r="L32" s="126"/>
    </row>
    <row r="33" spans="1:12" x14ac:dyDescent="0.25">
      <c r="A33" s="13">
        <v>6630</v>
      </c>
      <c r="B33" s="13" t="s">
        <v>47</v>
      </c>
      <c r="C33" s="170"/>
      <c r="D33" s="135">
        <v>8457.5</v>
      </c>
      <c r="E33" s="123"/>
      <c r="F33" s="123"/>
      <c r="G33" s="123"/>
      <c r="H33" s="123"/>
      <c r="I33" s="123"/>
      <c r="J33" s="123"/>
      <c r="L33" s="126"/>
    </row>
    <row r="34" spans="1:12" x14ac:dyDescent="0.25">
      <c r="A34" s="13">
        <v>6705</v>
      </c>
      <c r="B34" s="23" t="s">
        <v>28</v>
      </c>
      <c r="C34" s="172"/>
      <c r="D34" s="135"/>
      <c r="E34" s="123"/>
      <c r="F34" s="123"/>
      <c r="G34" s="123"/>
      <c r="H34" s="123"/>
      <c r="I34" s="123"/>
      <c r="J34" s="123"/>
      <c r="L34" s="126"/>
    </row>
    <row r="35" spans="1:12" x14ac:dyDescent="0.25">
      <c r="A35" s="13">
        <v>6800</v>
      </c>
      <c r="B35" s="13" t="s">
        <v>43</v>
      </c>
      <c r="C35" s="170"/>
      <c r="D35" s="135"/>
      <c r="E35" s="123"/>
      <c r="F35" s="123"/>
      <c r="G35" s="123"/>
      <c r="H35" s="123"/>
      <c r="I35" s="123"/>
      <c r="J35" s="123"/>
      <c r="L35" s="126"/>
    </row>
    <row r="36" spans="1:12" x14ac:dyDescent="0.25">
      <c r="A36" s="13">
        <v>6840</v>
      </c>
      <c r="B36" s="13" t="s">
        <v>26</v>
      </c>
      <c r="C36" s="170"/>
      <c r="D36" s="135"/>
      <c r="E36" s="123"/>
      <c r="F36" s="123"/>
      <c r="G36" s="123"/>
      <c r="H36" s="123"/>
      <c r="I36" s="123"/>
      <c r="J36" s="123"/>
      <c r="L36" s="126"/>
    </row>
    <row r="37" spans="1:12" x14ac:dyDescent="0.25">
      <c r="A37" s="13">
        <v>6860</v>
      </c>
      <c r="B37" s="13" t="s">
        <v>27</v>
      </c>
      <c r="C37" s="170"/>
      <c r="D37" s="135"/>
      <c r="E37" s="123"/>
      <c r="F37" s="123"/>
      <c r="G37" s="123"/>
      <c r="H37" s="123"/>
      <c r="I37" s="123"/>
      <c r="J37" s="123"/>
      <c r="L37" s="126"/>
    </row>
    <row r="38" spans="1:12" x14ac:dyDescent="0.25">
      <c r="A38" s="13">
        <v>6900</v>
      </c>
      <c r="B38" s="23" t="s">
        <v>44</v>
      </c>
      <c r="C38" s="172"/>
      <c r="D38" s="135"/>
      <c r="E38" s="123"/>
      <c r="F38" s="123"/>
      <c r="G38" s="123"/>
      <c r="H38" s="123"/>
      <c r="I38" s="123"/>
      <c r="J38" s="123"/>
      <c r="L38" s="126"/>
    </row>
    <row r="39" spans="1:12" x14ac:dyDescent="0.25">
      <c r="A39" s="13">
        <v>6940</v>
      </c>
      <c r="B39" s="13" t="s">
        <v>29</v>
      </c>
      <c r="C39" s="170"/>
      <c r="D39" s="135"/>
      <c r="E39" s="123"/>
      <c r="F39" s="123"/>
      <c r="G39" s="123"/>
      <c r="H39" s="123"/>
      <c r="I39" s="123"/>
      <c r="J39" s="123"/>
      <c r="L39" s="126"/>
    </row>
    <row r="40" spans="1:12" x14ac:dyDescent="0.25">
      <c r="A40" s="13">
        <v>7000</v>
      </c>
      <c r="B40" s="13" t="s">
        <v>48</v>
      </c>
      <c r="C40" s="170"/>
      <c r="D40" s="135"/>
      <c r="E40" s="123"/>
      <c r="F40" s="123"/>
      <c r="G40" s="123"/>
      <c r="H40" s="123"/>
      <c r="I40" s="123"/>
      <c r="J40" s="123"/>
      <c r="L40" s="126"/>
    </row>
    <row r="41" spans="1:12" x14ac:dyDescent="0.25">
      <c r="A41" s="13">
        <v>7140</v>
      </c>
      <c r="B41" s="13" t="s">
        <v>45</v>
      </c>
      <c r="C41" s="170"/>
      <c r="D41" s="135"/>
      <c r="E41" s="123"/>
      <c r="F41" s="123"/>
      <c r="G41" s="123"/>
      <c r="H41" s="123"/>
      <c r="I41" s="123"/>
      <c r="J41" s="123"/>
      <c r="L41" s="126"/>
    </row>
    <row r="42" spans="1:12" x14ac:dyDescent="0.25">
      <c r="A42" s="13">
        <v>7320</v>
      </c>
      <c r="B42" s="23" t="s">
        <v>30</v>
      </c>
      <c r="C42" s="172"/>
      <c r="D42" s="135"/>
      <c r="E42" s="123"/>
      <c r="F42" s="123"/>
      <c r="G42" s="123"/>
      <c r="H42" s="123"/>
      <c r="I42" s="123"/>
      <c r="J42" s="123"/>
      <c r="L42" s="126"/>
    </row>
    <row r="43" spans="1:12" x14ac:dyDescent="0.25">
      <c r="A43" s="13">
        <v>7400</v>
      </c>
      <c r="B43" s="13" t="s">
        <v>31</v>
      </c>
      <c r="C43" s="170"/>
      <c r="D43" s="135">
        <v>11465</v>
      </c>
      <c r="E43" s="123">
        <v>7385</v>
      </c>
      <c r="F43" s="123">
        <v>5000</v>
      </c>
      <c r="G43" s="123">
        <v>8000</v>
      </c>
      <c r="H43" s="123">
        <v>5875</v>
      </c>
      <c r="I43" s="123">
        <v>7400</v>
      </c>
      <c r="J43" s="123">
        <v>5000</v>
      </c>
      <c r="L43" s="126"/>
    </row>
    <row r="44" spans="1:12" x14ac:dyDescent="0.25">
      <c r="A44" s="13">
        <v>7420</v>
      </c>
      <c r="B44" s="13" t="s">
        <v>12</v>
      </c>
      <c r="C44" s="170"/>
      <c r="D44" s="135"/>
      <c r="E44" s="123"/>
      <c r="F44" s="123"/>
      <c r="G44" s="123"/>
      <c r="H44" s="123"/>
      <c r="I44" s="123"/>
      <c r="J44" s="123"/>
      <c r="L44" s="126"/>
    </row>
    <row r="45" spans="1:12" x14ac:dyDescent="0.25">
      <c r="A45" s="13">
        <v>7500</v>
      </c>
      <c r="B45" s="13" t="s">
        <v>21</v>
      </c>
      <c r="C45" s="170"/>
      <c r="D45" s="135"/>
      <c r="E45" s="123"/>
      <c r="F45" s="123"/>
      <c r="G45" s="123"/>
      <c r="H45" s="123"/>
      <c r="I45" s="123"/>
      <c r="J45" s="123"/>
      <c r="L45" s="126"/>
    </row>
    <row r="46" spans="1:12" s="144" customFormat="1" x14ac:dyDescent="0.25">
      <c r="A46" s="13">
        <v>7745</v>
      </c>
      <c r="B46" s="13" t="s">
        <v>92</v>
      </c>
      <c r="C46" s="170"/>
      <c r="D46" s="135"/>
      <c r="E46" s="123"/>
      <c r="F46" s="123"/>
      <c r="G46" s="123"/>
      <c r="H46" s="123"/>
      <c r="I46" s="123"/>
      <c r="J46" s="123"/>
      <c r="L46" s="126"/>
    </row>
    <row r="47" spans="1:12" x14ac:dyDescent="0.25">
      <c r="A47" s="13">
        <v>7750</v>
      </c>
      <c r="B47" s="13" t="s">
        <v>32</v>
      </c>
      <c r="C47" s="170"/>
      <c r="D47" s="135">
        <v>16343.4</v>
      </c>
      <c r="E47" s="123">
        <v>10966</v>
      </c>
      <c r="F47" s="123">
        <v>2414.5</v>
      </c>
      <c r="G47" s="123">
        <v>10000</v>
      </c>
      <c r="H47" s="123">
        <v>4500</v>
      </c>
      <c r="I47" s="123">
        <v>10000</v>
      </c>
      <c r="J47" s="123"/>
      <c r="L47" s="126"/>
    </row>
    <row r="48" spans="1:12" x14ac:dyDescent="0.25">
      <c r="A48" s="13">
        <v>7755</v>
      </c>
      <c r="B48" s="13" t="s">
        <v>33</v>
      </c>
      <c r="C48" s="170"/>
      <c r="D48" s="135"/>
      <c r="E48" s="123">
        <v>0</v>
      </c>
      <c r="F48" s="123">
        <v>0</v>
      </c>
      <c r="G48" s="123"/>
      <c r="H48" s="123"/>
      <c r="I48" s="123"/>
      <c r="J48" s="123"/>
      <c r="L48" s="126"/>
    </row>
    <row r="49" spans="1:12" x14ac:dyDescent="0.25">
      <c r="A49" s="13">
        <v>7770</v>
      </c>
      <c r="B49" s="13" t="s">
        <v>46</v>
      </c>
      <c r="C49" s="179"/>
      <c r="D49" s="119"/>
      <c r="E49" s="123">
        <v>0</v>
      </c>
      <c r="F49" s="123">
        <v>0</v>
      </c>
      <c r="G49" s="123"/>
      <c r="H49" s="123"/>
      <c r="I49" s="123"/>
      <c r="J49" s="123"/>
      <c r="L49" s="126"/>
    </row>
    <row r="50" spans="1:12" x14ac:dyDescent="0.25">
      <c r="A50" s="13">
        <v>7790</v>
      </c>
      <c r="B50" s="13" t="s">
        <v>34</v>
      </c>
      <c r="C50" s="170"/>
      <c r="D50" s="135"/>
      <c r="E50" s="123">
        <v>0</v>
      </c>
      <c r="F50" s="123">
        <v>0</v>
      </c>
      <c r="G50" s="123"/>
      <c r="H50" s="123"/>
      <c r="I50" s="123"/>
      <c r="J50" s="123"/>
      <c r="L50" s="126"/>
    </row>
    <row r="51" spans="1:12" x14ac:dyDescent="0.25">
      <c r="A51" s="13">
        <v>6010</v>
      </c>
      <c r="B51" s="23" t="s">
        <v>35</v>
      </c>
      <c r="C51" s="172"/>
      <c r="D51" s="135"/>
      <c r="E51" s="123">
        <v>0</v>
      </c>
      <c r="F51" s="123">
        <v>0</v>
      </c>
      <c r="G51" s="123"/>
      <c r="H51" s="123"/>
      <c r="I51" s="123"/>
      <c r="J51" s="123"/>
      <c r="L51" s="126"/>
    </row>
    <row r="52" spans="1:12" x14ac:dyDescent="0.25">
      <c r="A52" s="13"/>
      <c r="B52" s="26" t="s">
        <v>36</v>
      </c>
      <c r="C52" s="169"/>
      <c r="D52" s="141">
        <f t="shared" ref="D52:J52" si="1">SUM(D20:D51)</f>
        <v>64647.9</v>
      </c>
      <c r="E52" s="141">
        <f t="shared" si="1"/>
        <v>51399</v>
      </c>
      <c r="F52" s="141">
        <f t="shared" si="1"/>
        <v>30751</v>
      </c>
      <c r="G52" s="32">
        <f>SUM(G20:G51)</f>
        <v>53000</v>
      </c>
      <c r="H52" s="141">
        <f t="shared" si="1"/>
        <v>10375</v>
      </c>
      <c r="I52" s="141">
        <f t="shared" si="1"/>
        <v>35900</v>
      </c>
      <c r="J52" s="141">
        <f t="shared" si="1"/>
        <v>5000</v>
      </c>
      <c r="L52" s="126"/>
    </row>
    <row r="53" spans="1:12" x14ac:dyDescent="0.25">
      <c r="A53" s="13"/>
      <c r="B53" s="33"/>
      <c r="C53" s="175"/>
      <c r="D53" s="139"/>
      <c r="E53" s="123"/>
      <c r="F53" s="123"/>
      <c r="G53" s="123"/>
      <c r="H53" s="123"/>
      <c r="I53" s="123"/>
      <c r="J53" s="123"/>
      <c r="L53" s="126"/>
    </row>
    <row r="54" spans="1:12" x14ac:dyDescent="0.25">
      <c r="A54" s="13"/>
      <c r="B54" s="26" t="s">
        <v>38</v>
      </c>
      <c r="C54" s="169"/>
      <c r="D54" s="141">
        <f t="shared" ref="D54:J54" si="2">(D18-D52)</f>
        <v>9922.0999999999985</v>
      </c>
      <c r="E54" s="141">
        <f t="shared" si="2"/>
        <v>24142</v>
      </c>
      <c r="F54" s="141">
        <f t="shared" si="2"/>
        <v>20412</v>
      </c>
      <c r="G54" s="32">
        <f>(G18-G52)</f>
        <v>22000</v>
      </c>
      <c r="H54" s="141">
        <f t="shared" si="2"/>
        <v>-10375</v>
      </c>
      <c r="I54" s="141">
        <f t="shared" si="2"/>
        <v>9100</v>
      </c>
      <c r="J54" s="141">
        <f t="shared" si="2"/>
        <v>-5000</v>
      </c>
      <c r="L54" s="126"/>
    </row>
    <row r="55" spans="1:12" x14ac:dyDescent="0.25">
      <c r="A55" s="23"/>
      <c r="B55" s="23"/>
      <c r="C55" s="172"/>
      <c r="D55" s="136"/>
      <c r="E55" s="122"/>
      <c r="F55" s="122"/>
      <c r="G55" s="122"/>
      <c r="H55" s="122"/>
      <c r="I55" s="122"/>
      <c r="J55" s="122"/>
      <c r="L55" s="126"/>
    </row>
    <row r="56" spans="1:12" x14ac:dyDescent="0.25">
      <c r="A56" s="23"/>
      <c r="B56" s="24" t="s">
        <v>49</v>
      </c>
      <c r="C56" s="176"/>
      <c r="D56" s="137"/>
      <c r="E56" s="122"/>
      <c r="F56" s="122"/>
      <c r="G56" s="122"/>
      <c r="H56" s="122"/>
      <c r="I56" s="122"/>
      <c r="J56" s="122"/>
      <c r="L56" s="15"/>
    </row>
    <row r="57" spans="1:12" x14ac:dyDescent="0.25">
      <c r="A57" s="23"/>
      <c r="B57" s="23" t="s">
        <v>50</v>
      </c>
      <c r="C57" s="172"/>
      <c r="D57" s="137">
        <v>102.14</v>
      </c>
      <c r="E57" s="124">
        <v>117.5</v>
      </c>
      <c r="F57" s="124">
        <v>142</v>
      </c>
      <c r="G57" s="124">
        <v>0</v>
      </c>
      <c r="H57" s="124"/>
      <c r="I57" s="124">
        <v>0</v>
      </c>
      <c r="J57" s="124"/>
      <c r="L57" s="15"/>
    </row>
    <row r="58" spans="1:12" x14ac:dyDescent="0.25">
      <c r="A58" s="23"/>
      <c r="B58" s="23" t="s">
        <v>52</v>
      </c>
      <c r="C58" s="172"/>
      <c r="D58" s="137"/>
      <c r="E58" s="124">
        <v>0</v>
      </c>
      <c r="F58" s="124">
        <v>0</v>
      </c>
      <c r="G58" s="124">
        <v>0</v>
      </c>
      <c r="H58" s="124"/>
      <c r="I58" s="124">
        <v>0</v>
      </c>
      <c r="J58" s="124"/>
      <c r="L58" s="16"/>
    </row>
    <row r="59" spans="1:12" x14ac:dyDescent="0.25">
      <c r="A59" s="23"/>
      <c r="B59" s="34" t="s">
        <v>53</v>
      </c>
      <c r="C59" s="177"/>
      <c r="D59" s="142">
        <f t="shared" ref="D59:H59" si="3">D57-D58</f>
        <v>102.14</v>
      </c>
      <c r="E59" s="142">
        <f t="shared" ref="E59" si="4">E57-E58</f>
        <v>117.5</v>
      </c>
      <c r="F59" s="142">
        <f t="shared" si="3"/>
        <v>142</v>
      </c>
      <c r="G59" s="125">
        <v>0</v>
      </c>
      <c r="H59" s="142">
        <f t="shared" si="3"/>
        <v>0</v>
      </c>
      <c r="I59" s="142">
        <v>0</v>
      </c>
      <c r="J59" s="142"/>
      <c r="L59" s="16"/>
    </row>
    <row r="60" spans="1:12" x14ac:dyDescent="0.25">
      <c r="A60" s="23"/>
      <c r="B60" s="23"/>
      <c r="C60" s="172"/>
      <c r="D60" s="137"/>
      <c r="E60" s="122"/>
      <c r="F60" s="122"/>
      <c r="G60" s="122"/>
      <c r="H60" s="122"/>
      <c r="I60" s="122"/>
      <c r="J60" s="122"/>
      <c r="L60" s="120"/>
    </row>
    <row r="61" spans="1:12" x14ac:dyDescent="0.25">
      <c r="A61" s="23"/>
      <c r="B61" s="36" t="s">
        <v>37</v>
      </c>
      <c r="C61" s="178"/>
      <c r="D61" s="143">
        <f t="shared" ref="D61:E61" si="5">D54+D59</f>
        <v>10024.239999999998</v>
      </c>
      <c r="E61" s="143">
        <f t="shared" si="5"/>
        <v>24259.5</v>
      </c>
      <c r="F61" s="143">
        <f t="shared" ref="F61:J61" si="6">F54+F59</f>
        <v>20554</v>
      </c>
      <c r="G61" s="143">
        <f>G54+G59</f>
        <v>22000</v>
      </c>
      <c r="H61" s="143">
        <f t="shared" si="6"/>
        <v>-10375</v>
      </c>
      <c r="I61" s="143">
        <f t="shared" si="6"/>
        <v>9100</v>
      </c>
      <c r="J61" s="143">
        <f t="shared" si="6"/>
        <v>-5000</v>
      </c>
      <c r="L61" s="15"/>
    </row>
    <row r="62" spans="1:12" x14ac:dyDescent="0.25">
      <c r="L62" s="120"/>
    </row>
    <row r="63" spans="1:12" x14ac:dyDescent="0.25">
      <c r="B63" s="115" t="s">
        <v>130</v>
      </c>
      <c r="C63" s="115"/>
    </row>
    <row r="64" spans="1:12" x14ac:dyDescent="0.25">
      <c r="B64" t="s">
        <v>130</v>
      </c>
    </row>
  </sheetData>
  <pageMargins left="0.7" right="0.7" top="0.75" bottom="0.75" header="0.3" footer="0.3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workbookViewId="0">
      <pane xSplit="3" ySplit="3" topLeftCell="D6" activePane="bottomRight" state="frozen"/>
      <selection pane="topRight" activeCell="D1" sqref="D1"/>
      <selection pane="bottomLeft" activeCell="A4" sqref="A4"/>
      <selection pane="bottomRight" activeCell="K1" sqref="K1:K1048576"/>
    </sheetView>
  </sheetViews>
  <sheetFormatPr baseColWidth="10" defaultRowHeight="15" x14ac:dyDescent="0.25"/>
  <cols>
    <col min="1" max="1" width="7.7109375" customWidth="1"/>
    <col min="2" max="2" width="31.28515625" customWidth="1"/>
    <col min="3" max="3" width="8.140625" style="144" customWidth="1"/>
    <col min="4" max="4" width="14.5703125" bestFit="1" customWidth="1"/>
    <col min="5" max="5" width="15.7109375" customWidth="1"/>
    <col min="6" max="6" width="15.7109375" bestFit="1" customWidth="1"/>
    <col min="7" max="7" width="13.28515625" bestFit="1" customWidth="1"/>
    <col min="8" max="8" width="15.7109375" style="144" customWidth="1"/>
    <col min="9" max="10" width="13.28515625" style="144" customWidth="1"/>
  </cols>
  <sheetData>
    <row r="1" spans="1:10" ht="23.25" x14ac:dyDescent="0.35">
      <c r="B1" s="1" t="s">
        <v>143</v>
      </c>
      <c r="C1" s="1"/>
      <c r="D1" s="2"/>
      <c r="E1" s="3"/>
      <c r="F1" s="3"/>
      <c r="G1" s="3"/>
      <c r="H1" s="3"/>
      <c r="I1" s="3"/>
      <c r="J1" s="3"/>
    </row>
    <row r="2" spans="1:10" ht="23.25" x14ac:dyDescent="0.35">
      <c r="B2" s="1"/>
      <c r="C2" s="1"/>
      <c r="D2" s="2"/>
      <c r="E2" s="3"/>
      <c r="F2" s="3"/>
      <c r="G2" s="3"/>
      <c r="H2" s="3"/>
      <c r="I2" s="3"/>
      <c r="J2" s="3"/>
    </row>
    <row r="3" spans="1:10" x14ac:dyDescent="0.25">
      <c r="A3" s="27" t="s">
        <v>0</v>
      </c>
      <c r="B3" s="26" t="s">
        <v>1</v>
      </c>
      <c r="C3" s="169" t="s">
        <v>77</v>
      </c>
      <c r="D3" s="27" t="s">
        <v>89</v>
      </c>
      <c r="E3" s="27" t="s">
        <v>112</v>
      </c>
      <c r="F3" s="27" t="s">
        <v>136</v>
      </c>
      <c r="G3" s="27" t="s">
        <v>108</v>
      </c>
      <c r="H3" s="27" t="s">
        <v>138</v>
      </c>
      <c r="I3" s="27" t="s">
        <v>128</v>
      </c>
      <c r="J3" s="27" t="s">
        <v>160</v>
      </c>
    </row>
    <row r="4" spans="1:10" x14ac:dyDescent="0.25">
      <c r="A4" s="13">
        <v>3110</v>
      </c>
      <c r="B4" s="13" t="s">
        <v>2</v>
      </c>
      <c r="C4" s="170"/>
      <c r="D4" s="138"/>
      <c r="E4" s="138"/>
      <c r="F4" s="138"/>
      <c r="G4" s="28"/>
      <c r="H4" s="138"/>
      <c r="I4" s="138"/>
      <c r="J4" s="138"/>
    </row>
    <row r="5" spans="1:10" x14ac:dyDescent="0.25">
      <c r="A5" s="13">
        <v>3115</v>
      </c>
      <c r="B5" s="13" t="s">
        <v>3</v>
      </c>
      <c r="C5" s="170"/>
      <c r="D5" s="138"/>
      <c r="E5" s="138"/>
      <c r="F5" s="138"/>
      <c r="G5" s="28"/>
      <c r="H5" s="138"/>
      <c r="I5" s="138"/>
      <c r="J5" s="138"/>
    </row>
    <row r="6" spans="1:10" x14ac:dyDescent="0.25">
      <c r="A6" s="13">
        <v>3400</v>
      </c>
      <c r="B6" s="13" t="s">
        <v>4</v>
      </c>
      <c r="C6" s="170"/>
      <c r="D6" s="138"/>
      <c r="E6" s="138"/>
      <c r="F6" s="138"/>
      <c r="G6" s="28"/>
      <c r="H6" s="138"/>
      <c r="I6" s="138"/>
      <c r="J6" s="138"/>
    </row>
    <row r="7" spans="1:10" x14ac:dyDescent="0.25">
      <c r="A7" s="13">
        <v>3440</v>
      </c>
      <c r="B7" s="13" t="s">
        <v>55</v>
      </c>
      <c r="C7" s="170"/>
      <c r="D7" s="138"/>
      <c r="E7" s="138"/>
      <c r="F7" s="138"/>
      <c r="G7" s="28"/>
      <c r="H7" s="138"/>
      <c r="I7" s="138"/>
      <c r="J7" s="138"/>
    </row>
    <row r="8" spans="1:10" x14ac:dyDescent="0.25">
      <c r="A8" s="13">
        <v>3605</v>
      </c>
      <c r="B8" s="13" t="s">
        <v>5</v>
      </c>
      <c r="C8" s="170"/>
      <c r="D8" s="138"/>
      <c r="E8" s="138"/>
      <c r="F8" s="138"/>
      <c r="G8" s="28"/>
      <c r="H8" s="138"/>
      <c r="I8" s="138"/>
      <c r="J8" s="138"/>
    </row>
    <row r="9" spans="1:10" x14ac:dyDescent="0.25">
      <c r="A9" s="13">
        <v>3620</v>
      </c>
      <c r="B9" s="23" t="s">
        <v>91</v>
      </c>
      <c r="C9" s="172"/>
      <c r="D9" s="138"/>
      <c r="E9" s="138"/>
      <c r="F9" s="138"/>
      <c r="G9" s="28"/>
      <c r="H9" s="138"/>
      <c r="I9" s="138"/>
      <c r="J9" s="138"/>
    </row>
    <row r="10" spans="1:10" x14ac:dyDescent="0.25">
      <c r="A10" s="13">
        <v>3920</v>
      </c>
      <c r="B10" s="13" t="s">
        <v>6</v>
      </c>
      <c r="C10" s="170"/>
      <c r="D10" s="138"/>
      <c r="E10" s="138"/>
      <c r="F10" s="138"/>
      <c r="G10" s="28"/>
      <c r="H10" s="138"/>
      <c r="I10" s="138"/>
      <c r="J10" s="138"/>
    </row>
    <row r="11" spans="1:10" x14ac:dyDescent="0.25">
      <c r="A11" s="13">
        <v>3925</v>
      </c>
      <c r="B11" s="13" t="s">
        <v>7</v>
      </c>
      <c r="C11" s="170"/>
      <c r="D11" s="138"/>
      <c r="E11" s="138"/>
      <c r="F11" s="138"/>
      <c r="G11" s="28"/>
      <c r="H11" s="138"/>
      <c r="I11" s="138"/>
      <c r="J11" s="138"/>
    </row>
    <row r="12" spans="1:10" x14ac:dyDescent="0.25">
      <c r="A12" s="13">
        <v>3926</v>
      </c>
      <c r="B12" s="23" t="s">
        <v>13</v>
      </c>
      <c r="C12" s="172"/>
      <c r="D12" s="138"/>
      <c r="E12" s="138"/>
      <c r="F12" s="138"/>
      <c r="G12" s="28"/>
      <c r="H12" s="138"/>
      <c r="I12" s="138"/>
      <c r="J12" s="138"/>
    </row>
    <row r="13" spans="1:10" x14ac:dyDescent="0.25">
      <c r="A13" s="13">
        <v>3950</v>
      </c>
      <c r="B13" s="13" t="s">
        <v>9</v>
      </c>
      <c r="C13" s="170"/>
      <c r="D13" s="138">
        <v>2150</v>
      </c>
      <c r="E13" s="138"/>
      <c r="F13" s="138"/>
      <c r="G13" s="28">
        <v>2000</v>
      </c>
      <c r="H13" s="138"/>
      <c r="I13" s="138">
        <v>2000</v>
      </c>
      <c r="J13" s="138"/>
    </row>
    <row r="14" spans="1:10" x14ac:dyDescent="0.25">
      <c r="A14" s="13">
        <v>3970</v>
      </c>
      <c r="B14" s="13" t="s">
        <v>10</v>
      </c>
      <c r="C14" s="170"/>
      <c r="D14" s="138"/>
      <c r="E14" s="138"/>
      <c r="F14" s="138"/>
      <c r="G14" s="28"/>
      <c r="H14" s="138"/>
      <c r="I14" s="138"/>
      <c r="J14" s="138"/>
    </row>
    <row r="15" spans="1:10" x14ac:dyDescent="0.25">
      <c r="A15" s="13">
        <v>3975</v>
      </c>
      <c r="B15" s="13" t="s">
        <v>11</v>
      </c>
      <c r="C15" s="170"/>
      <c r="D15" s="138"/>
      <c r="E15" s="138"/>
      <c r="F15" s="138"/>
      <c r="G15" s="28"/>
      <c r="H15" s="138"/>
      <c r="I15" s="138"/>
      <c r="J15" s="138"/>
    </row>
    <row r="16" spans="1:10" x14ac:dyDescent="0.25">
      <c r="A16" s="13">
        <v>3980</v>
      </c>
      <c r="B16" s="13" t="s">
        <v>12</v>
      </c>
      <c r="C16" s="170"/>
      <c r="D16" s="138"/>
      <c r="E16" s="138"/>
      <c r="F16" s="138"/>
      <c r="G16" s="28"/>
      <c r="H16" s="138"/>
      <c r="I16" s="138"/>
      <c r="J16" s="138"/>
    </row>
    <row r="17" spans="1:10" x14ac:dyDescent="0.25">
      <c r="A17" s="13">
        <v>3990</v>
      </c>
      <c r="B17" s="23" t="s">
        <v>8</v>
      </c>
      <c r="C17" s="172"/>
      <c r="D17" s="138"/>
      <c r="E17" s="138"/>
      <c r="F17" s="138"/>
      <c r="G17" s="28"/>
      <c r="H17" s="138"/>
      <c r="I17" s="138"/>
      <c r="J17" s="138"/>
    </row>
    <row r="18" spans="1:10" x14ac:dyDescent="0.25">
      <c r="A18" s="13"/>
      <c r="B18" s="30" t="s">
        <v>14</v>
      </c>
      <c r="C18" s="173"/>
      <c r="D18" s="140">
        <f t="shared" ref="D18:I18" si="0">SUM(D4:D17)</f>
        <v>2150</v>
      </c>
      <c r="E18" s="140">
        <f t="shared" si="0"/>
        <v>0</v>
      </c>
      <c r="F18" s="140">
        <f t="shared" si="0"/>
        <v>0</v>
      </c>
      <c r="G18" s="31">
        <f>SUM(G4:G17)</f>
        <v>2000</v>
      </c>
      <c r="H18" s="140"/>
      <c r="I18" s="140">
        <f t="shared" si="0"/>
        <v>2000</v>
      </c>
      <c r="J18" s="140"/>
    </row>
    <row r="19" spans="1:10" x14ac:dyDescent="0.25">
      <c r="A19" s="13"/>
      <c r="B19" s="12" t="s">
        <v>15</v>
      </c>
      <c r="C19" s="174"/>
      <c r="D19" s="135"/>
      <c r="E19" s="22"/>
      <c r="F19" s="200"/>
      <c r="G19" s="22"/>
      <c r="H19" s="200"/>
      <c r="I19" s="135"/>
      <c r="J19" s="135"/>
    </row>
    <row r="20" spans="1:10" x14ac:dyDescent="0.25">
      <c r="A20" s="13">
        <v>4210</v>
      </c>
      <c r="B20" s="13" t="s">
        <v>16</v>
      </c>
      <c r="C20" s="170"/>
      <c r="D20" s="135"/>
      <c r="E20" s="200"/>
      <c r="F20" s="200"/>
      <c r="G20" s="22"/>
      <c r="H20" s="200"/>
      <c r="I20" s="135">
        <v>1000</v>
      </c>
      <c r="J20" s="135"/>
    </row>
    <row r="21" spans="1:10" x14ac:dyDescent="0.25">
      <c r="A21" s="13">
        <v>4220</v>
      </c>
      <c r="B21" s="13" t="s">
        <v>17</v>
      </c>
      <c r="C21" s="170"/>
      <c r="D21" s="135"/>
      <c r="E21" s="200"/>
      <c r="F21" s="200"/>
      <c r="G21" s="22"/>
      <c r="H21" s="200"/>
      <c r="I21" s="135"/>
      <c r="J21" s="135"/>
    </row>
    <row r="22" spans="1:10" x14ac:dyDescent="0.25">
      <c r="A22" s="13">
        <v>4225</v>
      </c>
      <c r="B22" s="13" t="s">
        <v>19</v>
      </c>
      <c r="C22" s="170"/>
      <c r="D22" s="135"/>
      <c r="E22" s="200"/>
      <c r="F22" s="200"/>
      <c r="G22" s="22"/>
      <c r="H22" s="200"/>
      <c r="I22" s="135"/>
      <c r="J22" s="135"/>
    </row>
    <row r="23" spans="1:10" x14ac:dyDescent="0.25">
      <c r="A23" s="13">
        <v>4300</v>
      </c>
      <c r="B23" s="13" t="s">
        <v>18</v>
      </c>
      <c r="C23" s="170"/>
      <c r="D23" s="135"/>
      <c r="E23" s="200"/>
      <c r="F23" s="200"/>
      <c r="G23" s="22"/>
      <c r="H23" s="200"/>
      <c r="I23" s="135"/>
      <c r="J23" s="135"/>
    </row>
    <row r="24" spans="1:10" x14ac:dyDescent="0.25">
      <c r="A24" s="13">
        <v>5000</v>
      </c>
      <c r="B24" s="13" t="s">
        <v>20</v>
      </c>
      <c r="C24" s="170"/>
      <c r="D24" s="135"/>
      <c r="E24" s="135"/>
      <c r="F24" s="135"/>
      <c r="G24" s="22"/>
      <c r="H24" s="135"/>
      <c r="I24" s="135"/>
      <c r="J24" s="135"/>
    </row>
    <row r="25" spans="1:10" x14ac:dyDescent="0.25">
      <c r="A25" s="13">
        <v>6315</v>
      </c>
      <c r="B25" s="13" t="s">
        <v>22</v>
      </c>
      <c r="C25" s="170"/>
      <c r="D25" s="135"/>
      <c r="E25" s="135"/>
      <c r="F25" s="135"/>
      <c r="G25" s="22"/>
      <c r="H25" s="135"/>
      <c r="I25" s="135"/>
      <c r="J25" s="135"/>
    </row>
    <row r="26" spans="1:10" x14ac:dyDescent="0.25">
      <c r="A26" s="13">
        <v>6316</v>
      </c>
      <c r="B26" s="13" t="s">
        <v>39</v>
      </c>
      <c r="C26" s="170"/>
      <c r="D26" s="135"/>
      <c r="E26" s="135"/>
      <c r="F26" s="135"/>
      <c r="G26" s="22"/>
      <c r="H26" s="135"/>
      <c r="I26" s="135"/>
      <c r="J26" s="135"/>
    </row>
    <row r="27" spans="1:10" x14ac:dyDescent="0.25">
      <c r="A27" s="13">
        <v>6320</v>
      </c>
      <c r="B27" s="13" t="s">
        <v>23</v>
      </c>
      <c r="C27" s="170"/>
      <c r="D27" s="135"/>
      <c r="E27" s="135"/>
      <c r="F27" s="135"/>
      <c r="G27" s="22"/>
      <c r="H27" s="135"/>
      <c r="I27" s="135"/>
      <c r="J27" s="135"/>
    </row>
    <row r="28" spans="1:10" x14ac:dyDescent="0.25">
      <c r="A28" s="13">
        <v>6340</v>
      </c>
      <c r="B28" s="13" t="s">
        <v>41</v>
      </c>
      <c r="C28" s="170"/>
      <c r="D28" s="135"/>
      <c r="E28" s="135"/>
      <c r="F28" s="135"/>
      <c r="G28" s="22"/>
      <c r="H28" s="135"/>
      <c r="I28" s="135"/>
      <c r="J28" s="135"/>
    </row>
    <row r="29" spans="1:10" x14ac:dyDescent="0.25">
      <c r="A29" s="13">
        <v>6340</v>
      </c>
      <c r="B29" s="13" t="s">
        <v>42</v>
      </c>
      <c r="C29" s="170"/>
      <c r="D29" s="135"/>
      <c r="E29" s="135"/>
      <c r="F29" s="135"/>
      <c r="G29" s="22"/>
      <c r="H29" s="135"/>
      <c r="I29" s="135"/>
      <c r="J29" s="135"/>
    </row>
    <row r="30" spans="1:10" x14ac:dyDescent="0.25">
      <c r="A30" s="13">
        <v>6550</v>
      </c>
      <c r="B30" s="13" t="s">
        <v>40</v>
      </c>
      <c r="C30" s="170"/>
      <c r="D30" s="135"/>
      <c r="E30" s="135"/>
      <c r="F30" s="135"/>
      <c r="G30" s="22"/>
      <c r="H30" s="135"/>
      <c r="I30" s="135"/>
      <c r="J30" s="135"/>
    </row>
    <row r="31" spans="1:10" x14ac:dyDescent="0.25">
      <c r="A31" s="13">
        <v>6600</v>
      </c>
      <c r="B31" s="13" t="s">
        <v>24</v>
      </c>
      <c r="C31" s="170"/>
      <c r="D31" s="135"/>
      <c r="E31" s="135"/>
      <c r="F31" s="135"/>
      <c r="G31" s="22"/>
      <c r="H31" s="135"/>
      <c r="I31" s="135"/>
      <c r="J31" s="135"/>
    </row>
    <row r="32" spans="1:10" x14ac:dyDescent="0.25">
      <c r="A32" s="13">
        <v>6620</v>
      </c>
      <c r="B32" s="13" t="s">
        <v>25</v>
      </c>
      <c r="C32" s="170"/>
      <c r="D32" s="135"/>
      <c r="E32" s="135"/>
      <c r="F32" s="135"/>
      <c r="G32" s="22"/>
      <c r="H32" s="135"/>
      <c r="I32" s="135"/>
      <c r="J32" s="135"/>
    </row>
    <row r="33" spans="1:10" x14ac:dyDescent="0.25">
      <c r="A33" s="13">
        <v>6630</v>
      </c>
      <c r="B33" s="13" t="s">
        <v>47</v>
      </c>
      <c r="C33" s="170"/>
      <c r="D33" s="135"/>
      <c r="E33" s="135"/>
      <c r="F33" s="135"/>
      <c r="G33" s="22"/>
      <c r="H33" s="135"/>
      <c r="I33" s="135"/>
      <c r="J33" s="135"/>
    </row>
    <row r="34" spans="1:10" x14ac:dyDescent="0.25">
      <c r="A34" s="13">
        <v>6705</v>
      </c>
      <c r="B34" s="23" t="s">
        <v>28</v>
      </c>
      <c r="C34" s="172"/>
      <c r="D34" s="135"/>
      <c r="E34" s="135"/>
      <c r="F34" s="135"/>
      <c r="G34" s="22"/>
      <c r="H34" s="135"/>
      <c r="I34" s="135"/>
      <c r="J34" s="135"/>
    </row>
    <row r="35" spans="1:10" x14ac:dyDescent="0.25">
      <c r="A35" s="13">
        <v>6800</v>
      </c>
      <c r="B35" s="13" t="s">
        <v>43</v>
      </c>
      <c r="C35" s="170"/>
      <c r="D35" s="135"/>
      <c r="E35" s="135"/>
      <c r="F35" s="135"/>
      <c r="G35" s="22"/>
      <c r="H35" s="135"/>
      <c r="I35" s="135"/>
      <c r="J35" s="135"/>
    </row>
    <row r="36" spans="1:10" x14ac:dyDescent="0.25">
      <c r="A36" s="13">
        <v>6840</v>
      </c>
      <c r="B36" s="13" t="s">
        <v>26</v>
      </c>
      <c r="C36" s="170"/>
      <c r="D36" s="135"/>
      <c r="E36" s="135"/>
      <c r="F36" s="135"/>
      <c r="G36" s="22"/>
      <c r="H36" s="135"/>
      <c r="I36" s="135"/>
      <c r="J36" s="135"/>
    </row>
    <row r="37" spans="1:10" x14ac:dyDescent="0.25">
      <c r="A37" s="13">
        <v>6860</v>
      </c>
      <c r="B37" s="13" t="s">
        <v>27</v>
      </c>
      <c r="C37" s="170"/>
      <c r="D37" s="135"/>
      <c r="E37" s="135"/>
      <c r="F37" s="135"/>
      <c r="G37" s="22"/>
      <c r="H37" s="135"/>
      <c r="I37" s="135"/>
      <c r="J37" s="135"/>
    </row>
    <row r="38" spans="1:10" x14ac:dyDescent="0.25">
      <c r="A38" s="13">
        <v>6900</v>
      </c>
      <c r="B38" s="23" t="s">
        <v>44</v>
      </c>
      <c r="C38" s="172"/>
      <c r="D38" s="135"/>
      <c r="E38" s="135"/>
      <c r="F38" s="135"/>
      <c r="G38" s="22"/>
      <c r="H38" s="135"/>
      <c r="I38" s="135"/>
      <c r="J38" s="135"/>
    </row>
    <row r="39" spans="1:10" x14ac:dyDescent="0.25">
      <c r="A39" s="13">
        <v>6940</v>
      </c>
      <c r="B39" s="13" t="s">
        <v>29</v>
      </c>
      <c r="C39" s="170"/>
      <c r="D39" s="135"/>
      <c r="E39" s="135"/>
      <c r="F39" s="135"/>
      <c r="G39" s="22"/>
      <c r="H39" s="135"/>
      <c r="I39" s="135"/>
      <c r="J39" s="135"/>
    </row>
    <row r="40" spans="1:10" x14ac:dyDescent="0.25">
      <c r="A40" s="13">
        <v>7000</v>
      </c>
      <c r="B40" s="13" t="s">
        <v>48</v>
      </c>
      <c r="C40" s="170"/>
      <c r="D40" s="135"/>
      <c r="E40" s="135"/>
      <c r="F40" s="135"/>
      <c r="G40" s="22"/>
      <c r="H40" s="135"/>
      <c r="I40" s="135"/>
      <c r="J40" s="135"/>
    </row>
    <row r="41" spans="1:10" x14ac:dyDescent="0.25">
      <c r="A41" s="13">
        <v>7140</v>
      </c>
      <c r="B41" s="13" t="s">
        <v>45</v>
      </c>
      <c r="C41" s="170"/>
      <c r="D41" s="135"/>
      <c r="E41" s="135"/>
      <c r="F41" s="135"/>
      <c r="G41" s="22"/>
      <c r="H41" s="135"/>
      <c r="I41" s="135"/>
      <c r="J41" s="135"/>
    </row>
    <row r="42" spans="1:10" x14ac:dyDescent="0.25">
      <c r="A42" s="13">
        <v>7320</v>
      </c>
      <c r="B42" s="23" t="s">
        <v>30</v>
      </c>
      <c r="C42" s="172"/>
      <c r="D42" s="135">
        <v>960</v>
      </c>
      <c r="E42" s="135"/>
      <c r="F42" s="135"/>
      <c r="G42" s="22">
        <v>1000</v>
      </c>
      <c r="H42" s="135"/>
      <c r="I42" s="135">
        <v>1000</v>
      </c>
      <c r="J42" s="135"/>
    </row>
    <row r="43" spans="1:10" x14ac:dyDescent="0.25">
      <c r="A43" s="13">
        <v>7400</v>
      </c>
      <c r="B43" s="13" t="s">
        <v>31</v>
      </c>
      <c r="C43" s="170"/>
      <c r="D43" s="135"/>
      <c r="E43" s="135"/>
      <c r="F43" s="135"/>
      <c r="G43" s="22"/>
      <c r="H43" s="135"/>
      <c r="I43" s="135"/>
      <c r="J43" s="135"/>
    </row>
    <row r="44" spans="1:10" x14ac:dyDescent="0.25">
      <c r="A44" s="13">
        <v>7420</v>
      </c>
      <c r="B44" s="13" t="s">
        <v>12</v>
      </c>
      <c r="C44" s="170"/>
      <c r="D44" s="135"/>
      <c r="E44" s="135"/>
      <c r="F44" s="135"/>
      <c r="G44" s="22"/>
      <c r="H44" s="135"/>
      <c r="I44" s="135"/>
      <c r="J44" s="135"/>
    </row>
    <row r="45" spans="1:10" x14ac:dyDescent="0.25">
      <c r="A45" s="13">
        <v>7500</v>
      </c>
      <c r="B45" s="13" t="s">
        <v>21</v>
      </c>
      <c r="C45" s="170"/>
      <c r="D45" s="135"/>
      <c r="E45" s="135"/>
      <c r="F45" s="135"/>
      <c r="G45" s="22"/>
      <c r="H45" s="135"/>
      <c r="I45" s="135"/>
      <c r="J45" s="135"/>
    </row>
    <row r="46" spans="1:10" s="144" customFormat="1" x14ac:dyDescent="0.25">
      <c r="A46" s="13">
        <v>7745</v>
      </c>
      <c r="B46" s="13" t="s">
        <v>92</v>
      </c>
      <c r="C46" s="170"/>
      <c r="D46" s="135"/>
      <c r="E46" s="135"/>
      <c r="F46" s="135"/>
      <c r="G46" s="135"/>
      <c r="H46" s="135"/>
      <c r="I46" s="135"/>
      <c r="J46" s="135"/>
    </row>
    <row r="47" spans="1:10" x14ac:dyDescent="0.25">
      <c r="A47" s="13">
        <v>7750</v>
      </c>
      <c r="B47" s="13" t="s">
        <v>32</v>
      </c>
      <c r="C47" s="170"/>
      <c r="D47" s="135"/>
      <c r="E47" s="135"/>
      <c r="F47" s="135"/>
      <c r="G47" s="22"/>
      <c r="H47" s="135"/>
      <c r="I47" s="135"/>
      <c r="J47" s="135"/>
    </row>
    <row r="48" spans="1:10" x14ac:dyDescent="0.25">
      <c r="A48" s="13">
        <v>7755</v>
      </c>
      <c r="B48" s="13" t="s">
        <v>33</v>
      </c>
      <c r="C48" s="170"/>
      <c r="D48" s="135"/>
      <c r="E48" s="135"/>
      <c r="F48" s="135"/>
      <c r="G48" s="22"/>
      <c r="H48" s="135"/>
      <c r="I48" s="135"/>
      <c r="J48" s="135"/>
    </row>
    <row r="49" spans="1:10" x14ac:dyDescent="0.25">
      <c r="A49" s="13">
        <v>7770</v>
      </c>
      <c r="B49" s="13" t="s">
        <v>46</v>
      </c>
      <c r="C49" s="170"/>
      <c r="D49" s="135"/>
      <c r="E49" s="135"/>
      <c r="F49" s="135"/>
      <c r="G49" s="22"/>
      <c r="H49" s="135"/>
      <c r="I49" s="135"/>
      <c r="J49" s="135"/>
    </row>
    <row r="50" spans="1:10" x14ac:dyDescent="0.25">
      <c r="A50" s="13">
        <v>7790</v>
      </c>
      <c r="B50" s="13" t="s">
        <v>34</v>
      </c>
      <c r="C50" s="170"/>
      <c r="D50" s="135"/>
      <c r="E50" s="135"/>
      <c r="F50" s="135"/>
      <c r="G50" s="22"/>
      <c r="H50" s="135"/>
      <c r="I50" s="135"/>
      <c r="J50" s="135"/>
    </row>
    <row r="51" spans="1:10" x14ac:dyDescent="0.25">
      <c r="A51" s="13">
        <v>6010</v>
      </c>
      <c r="B51" s="23" t="s">
        <v>35</v>
      </c>
      <c r="C51" s="172"/>
      <c r="D51" s="135"/>
      <c r="E51" s="135"/>
      <c r="F51" s="135"/>
      <c r="G51" s="22"/>
      <c r="H51" s="135"/>
      <c r="I51" s="135"/>
      <c r="J51" s="135"/>
    </row>
    <row r="52" spans="1:10" x14ac:dyDescent="0.25">
      <c r="A52" s="13"/>
      <c r="B52" s="26" t="s">
        <v>36</v>
      </c>
      <c r="C52" s="169"/>
      <c r="D52" s="141">
        <f>SUM(D20:D51)</f>
        <v>960</v>
      </c>
      <c r="E52" s="32">
        <f>SUM(E20:E51)</f>
        <v>0</v>
      </c>
      <c r="F52" s="141">
        <f>SUM(F19:F51)</f>
        <v>0</v>
      </c>
      <c r="G52" s="32">
        <f>SUM(G19:G51)</f>
        <v>1000</v>
      </c>
      <c r="H52" s="141"/>
      <c r="I52" s="141">
        <f>SUM(I19:I51)</f>
        <v>2000</v>
      </c>
      <c r="J52" s="141"/>
    </row>
    <row r="53" spans="1:10" x14ac:dyDescent="0.25">
      <c r="A53" s="13"/>
      <c r="B53" s="33"/>
      <c r="C53" s="175"/>
      <c r="D53" s="139"/>
      <c r="E53" s="29"/>
      <c r="F53" s="139"/>
      <c r="G53" s="29"/>
      <c r="H53" s="139"/>
      <c r="I53" s="139"/>
      <c r="J53" s="139"/>
    </row>
    <row r="54" spans="1:10" x14ac:dyDescent="0.25">
      <c r="A54" s="13"/>
      <c r="B54" s="26" t="s">
        <v>38</v>
      </c>
      <c r="C54" s="169"/>
      <c r="D54" s="141">
        <f>(D18-D52)</f>
        <v>1190</v>
      </c>
      <c r="E54" s="32">
        <f>(E18-E52)</f>
        <v>0</v>
      </c>
      <c r="F54" s="141">
        <f>F18-F52</f>
        <v>0</v>
      </c>
      <c r="G54" s="32">
        <f>G18-G52</f>
        <v>1000</v>
      </c>
      <c r="H54" s="141"/>
      <c r="I54" s="141">
        <f>I18-I52</f>
        <v>0</v>
      </c>
      <c r="J54" s="141"/>
    </row>
    <row r="55" spans="1:10" x14ac:dyDescent="0.25">
      <c r="A55" s="23"/>
      <c r="B55" s="23"/>
      <c r="C55" s="172"/>
      <c r="D55" s="136"/>
      <c r="E55" s="23"/>
      <c r="F55" s="136"/>
      <c r="G55" s="23"/>
      <c r="H55" s="136"/>
      <c r="I55" s="136"/>
      <c r="J55" s="136"/>
    </row>
    <row r="56" spans="1:10" x14ac:dyDescent="0.25">
      <c r="A56" s="23"/>
      <c r="B56" s="24" t="s">
        <v>49</v>
      </c>
      <c r="C56" s="176"/>
      <c r="D56" s="137"/>
      <c r="E56" s="25"/>
      <c r="F56" s="137"/>
      <c r="G56" s="25"/>
      <c r="H56" s="137"/>
      <c r="I56" s="137"/>
      <c r="J56" s="137"/>
    </row>
    <row r="57" spans="1:10" x14ac:dyDescent="0.25">
      <c r="A57" s="23"/>
      <c r="B57" s="23" t="s">
        <v>50</v>
      </c>
      <c r="C57" s="172"/>
      <c r="D57" s="137"/>
      <c r="E57" s="25"/>
      <c r="F57" s="137"/>
      <c r="G57" s="25"/>
      <c r="H57" s="137"/>
      <c r="I57" s="137"/>
      <c r="J57" s="137"/>
    </row>
    <row r="58" spans="1:10" x14ac:dyDescent="0.25">
      <c r="A58" s="23"/>
      <c r="B58" s="23" t="s">
        <v>52</v>
      </c>
      <c r="C58" s="172"/>
      <c r="D58" s="137"/>
      <c r="E58" s="25"/>
      <c r="F58" s="137"/>
      <c r="G58" s="25"/>
      <c r="H58" s="137"/>
      <c r="I58" s="137"/>
      <c r="J58" s="137"/>
    </row>
    <row r="59" spans="1:10" x14ac:dyDescent="0.25">
      <c r="A59" s="23"/>
      <c r="B59" s="34" t="s">
        <v>53</v>
      </c>
      <c r="C59" s="177"/>
      <c r="D59" s="142">
        <f t="shared" ref="D59" si="1">D57-D58</f>
        <v>0</v>
      </c>
      <c r="E59" s="35">
        <f t="shared" ref="E59" si="2">E57-E58</f>
        <v>0</v>
      </c>
      <c r="F59" s="142">
        <f t="shared" ref="F59" si="3">F57-F58</f>
        <v>0</v>
      </c>
      <c r="G59" s="35">
        <f>G57-G58</f>
        <v>0</v>
      </c>
      <c r="H59" s="142"/>
      <c r="I59" s="142"/>
      <c r="J59" s="142"/>
    </row>
    <row r="60" spans="1:10" x14ac:dyDescent="0.25">
      <c r="A60" s="23"/>
      <c r="B60" s="23"/>
      <c r="C60" s="172"/>
      <c r="D60" s="137"/>
      <c r="E60" s="25"/>
      <c r="F60" s="137"/>
      <c r="G60" s="25"/>
      <c r="H60" s="137"/>
      <c r="I60" s="137"/>
      <c r="J60" s="137"/>
    </row>
    <row r="61" spans="1:10" x14ac:dyDescent="0.25">
      <c r="A61" s="23"/>
      <c r="B61" s="36" t="s">
        <v>37</v>
      </c>
      <c r="C61" s="178"/>
      <c r="D61" s="143">
        <f t="shared" ref="D61" si="4">D54+D59</f>
        <v>1190</v>
      </c>
      <c r="E61" s="37">
        <f t="shared" ref="E61" si="5">E54+E59</f>
        <v>0</v>
      </c>
      <c r="F61" s="143">
        <f t="shared" ref="F61" si="6">F54+F59</f>
        <v>0</v>
      </c>
      <c r="G61" s="37">
        <f>G54+G59</f>
        <v>1000</v>
      </c>
      <c r="H61" s="143"/>
      <c r="I61" s="143"/>
      <c r="J61" s="143"/>
    </row>
    <row r="63" spans="1:10" x14ac:dyDescent="0.25">
      <c r="B63" s="115" t="s">
        <v>87</v>
      </c>
      <c r="C63" s="115"/>
    </row>
    <row r="64" spans="1:10" x14ac:dyDescent="0.25">
      <c r="B64" t="s">
        <v>111</v>
      </c>
    </row>
  </sheetData>
  <pageMargins left="0.7" right="0.7" top="0.75" bottom="0.75" header="0.3" footer="0.3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workbookViewId="0">
      <pane xSplit="2" ySplit="3" topLeftCell="C6" activePane="bottomRight" state="frozen"/>
      <selection pane="topRight" activeCell="C1" sqref="C1"/>
      <selection pane="bottomLeft" activeCell="A4" sqref="A4"/>
      <selection pane="bottomRight" activeCell="N29" sqref="N29"/>
    </sheetView>
  </sheetViews>
  <sheetFormatPr baseColWidth="10" defaultRowHeight="15" x14ac:dyDescent="0.25"/>
  <cols>
    <col min="1" max="1" width="8.140625" style="144" customWidth="1"/>
    <col min="2" max="2" width="27" style="144" customWidth="1"/>
    <col min="3" max="3" width="8" style="144" customWidth="1"/>
    <col min="4" max="4" width="14.85546875" style="144" bestFit="1" customWidth="1"/>
    <col min="5" max="6" width="13.28515625" style="144" customWidth="1"/>
    <col min="7" max="16384" width="11.42578125" style="144"/>
  </cols>
  <sheetData>
    <row r="1" spans="1:8" ht="23.25" x14ac:dyDescent="0.35">
      <c r="B1" s="1" t="s">
        <v>168</v>
      </c>
      <c r="C1" s="1"/>
      <c r="D1" s="1"/>
      <c r="E1" s="3"/>
      <c r="F1" s="3"/>
    </row>
    <row r="2" spans="1:8" ht="23.25" x14ac:dyDescent="0.35">
      <c r="B2" s="1"/>
      <c r="C2" s="1"/>
      <c r="D2" s="1"/>
      <c r="E2" s="3"/>
      <c r="F2" s="3"/>
    </row>
    <row r="3" spans="1:8" x14ac:dyDescent="0.25">
      <c r="A3" s="27" t="s">
        <v>0</v>
      </c>
      <c r="B3" s="26" t="s">
        <v>1</v>
      </c>
      <c r="C3" s="169" t="s">
        <v>77</v>
      </c>
      <c r="D3" s="169" t="s">
        <v>138</v>
      </c>
      <c r="E3" s="27" t="s">
        <v>167</v>
      </c>
      <c r="F3" s="27" t="s">
        <v>169</v>
      </c>
      <c r="H3" s="15"/>
    </row>
    <row r="4" spans="1:8" x14ac:dyDescent="0.25">
      <c r="A4" s="13">
        <v>3110</v>
      </c>
      <c r="B4" s="13" t="s">
        <v>2</v>
      </c>
      <c r="C4" s="170"/>
      <c r="D4" s="217"/>
      <c r="E4" s="121"/>
      <c r="F4" s="121"/>
      <c r="H4" s="17"/>
    </row>
    <row r="5" spans="1:8" x14ac:dyDescent="0.25">
      <c r="A5" s="13">
        <v>3115</v>
      </c>
      <c r="B5" s="13" t="s">
        <v>3</v>
      </c>
      <c r="C5" s="170"/>
      <c r="D5" s="217"/>
      <c r="E5" s="121"/>
      <c r="F5" s="121"/>
      <c r="H5" s="126"/>
    </row>
    <row r="6" spans="1:8" x14ac:dyDescent="0.25">
      <c r="A6" s="13">
        <v>3400</v>
      </c>
      <c r="B6" s="13" t="s">
        <v>4</v>
      </c>
      <c r="C6" s="170"/>
      <c r="D6" s="217"/>
      <c r="E6" s="121">
        <v>4800</v>
      </c>
      <c r="F6" s="121"/>
      <c r="H6" s="126"/>
    </row>
    <row r="7" spans="1:8" x14ac:dyDescent="0.25">
      <c r="A7" s="13">
        <v>3440</v>
      </c>
      <c r="B7" s="13" t="s">
        <v>55</v>
      </c>
      <c r="C7" s="170"/>
      <c r="D7" s="217"/>
      <c r="E7" s="121"/>
      <c r="F7" s="121"/>
      <c r="H7" s="126"/>
    </row>
    <row r="8" spans="1:8" x14ac:dyDescent="0.25">
      <c r="A8" s="13">
        <v>3605</v>
      </c>
      <c r="B8" s="13" t="s">
        <v>5</v>
      </c>
      <c r="C8" s="170"/>
      <c r="D8" s="170"/>
      <c r="E8" s="116"/>
      <c r="F8" s="116"/>
      <c r="H8" s="126"/>
    </row>
    <row r="9" spans="1:8" x14ac:dyDescent="0.25">
      <c r="A9" s="13">
        <v>3620</v>
      </c>
      <c r="B9" s="136" t="s">
        <v>91</v>
      </c>
      <c r="C9" s="172"/>
      <c r="D9" s="172"/>
      <c r="E9" s="123"/>
      <c r="F9" s="123"/>
      <c r="H9" s="126"/>
    </row>
    <row r="10" spans="1:8" x14ac:dyDescent="0.25">
      <c r="A10" s="13">
        <v>3920</v>
      </c>
      <c r="B10" s="13" t="s">
        <v>6</v>
      </c>
      <c r="C10" s="170"/>
      <c r="D10" s="170"/>
      <c r="E10" s="123"/>
      <c r="F10" s="123"/>
      <c r="H10" s="126"/>
    </row>
    <row r="11" spans="1:8" x14ac:dyDescent="0.25">
      <c r="A11" s="13">
        <v>3925</v>
      </c>
      <c r="B11" s="13" t="s">
        <v>7</v>
      </c>
      <c r="C11" s="170"/>
      <c r="D11" s="170">
        <v>12000</v>
      </c>
      <c r="E11" s="123">
        <v>32000</v>
      </c>
      <c r="F11" s="123"/>
      <c r="H11" s="126"/>
    </row>
    <row r="12" spans="1:8" x14ac:dyDescent="0.25">
      <c r="A12" s="13">
        <v>3926</v>
      </c>
      <c r="B12" s="136" t="s">
        <v>13</v>
      </c>
      <c r="C12" s="172"/>
      <c r="D12" s="172"/>
      <c r="E12" s="123"/>
      <c r="F12" s="123"/>
      <c r="H12" s="126"/>
    </row>
    <row r="13" spans="1:8" x14ac:dyDescent="0.25">
      <c r="A13" s="13">
        <v>3950</v>
      </c>
      <c r="B13" s="13" t="s">
        <v>9</v>
      </c>
      <c r="C13" s="170"/>
      <c r="D13" s="170"/>
      <c r="E13" s="123"/>
      <c r="F13" s="123"/>
      <c r="H13" s="126"/>
    </row>
    <row r="14" spans="1:8" x14ac:dyDescent="0.25">
      <c r="A14" s="13">
        <v>3970</v>
      </c>
      <c r="B14" s="13" t="s">
        <v>10</v>
      </c>
      <c r="C14" s="170"/>
      <c r="D14" s="217"/>
      <c r="E14" s="121"/>
      <c r="F14" s="121"/>
      <c r="H14" s="126"/>
    </row>
    <row r="15" spans="1:8" x14ac:dyDescent="0.25">
      <c r="A15" s="13">
        <v>3975</v>
      </c>
      <c r="B15" s="13" t="s">
        <v>11</v>
      </c>
      <c r="C15" s="170"/>
      <c r="D15" s="217"/>
      <c r="E15" s="121"/>
      <c r="F15" s="121"/>
      <c r="H15" s="126"/>
    </row>
    <row r="16" spans="1:8" x14ac:dyDescent="0.25">
      <c r="A16" s="13">
        <v>3980</v>
      </c>
      <c r="B16" s="13" t="s">
        <v>12</v>
      </c>
      <c r="C16" s="170"/>
      <c r="D16" s="217"/>
      <c r="E16" s="121"/>
      <c r="F16" s="121"/>
      <c r="H16" s="126"/>
    </row>
    <row r="17" spans="1:8" x14ac:dyDescent="0.25">
      <c r="A17" s="13">
        <v>3990</v>
      </c>
      <c r="B17" s="136" t="s">
        <v>8</v>
      </c>
      <c r="C17" s="172"/>
      <c r="D17" s="218"/>
      <c r="E17" s="121"/>
      <c r="F17" s="121"/>
      <c r="H17" s="126"/>
    </row>
    <row r="18" spans="1:8" x14ac:dyDescent="0.25">
      <c r="A18" s="13"/>
      <c r="B18" s="30" t="s">
        <v>14</v>
      </c>
      <c r="C18" s="173"/>
      <c r="D18" s="140">
        <f t="shared" ref="D18:F18" si="0">SUM(D4:D17)</f>
        <v>12000</v>
      </c>
      <c r="E18" s="140">
        <f t="shared" si="0"/>
        <v>36800</v>
      </c>
      <c r="F18" s="140">
        <f t="shared" si="0"/>
        <v>0</v>
      </c>
      <c r="H18" s="126"/>
    </row>
    <row r="19" spans="1:8" x14ac:dyDescent="0.25">
      <c r="A19" s="13"/>
      <c r="B19" s="12" t="s">
        <v>15</v>
      </c>
      <c r="C19" s="174"/>
      <c r="D19" s="174"/>
      <c r="E19" s="123"/>
      <c r="F19" s="123"/>
      <c r="H19" s="126"/>
    </row>
    <row r="20" spans="1:8" x14ac:dyDescent="0.25">
      <c r="A20" s="13">
        <v>4210</v>
      </c>
      <c r="B20" s="13" t="s">
        <v>16</v>
      </c>
      <c r="C20" s="170"/>
      <c r="D20" s="170"/>
      <c r="E20" s="123"/>
      <c r="F20" s="123"/>
      <c r="H20" s="126"/>
    </row>
    <row r="21" spans="1:8" x14ac:dyDescent="0.25">
      <c r="A21" s="13">
        <v>4220</v>
      </c>
      <c r="B21" s="13" t="s">
        <v>17</v>
      </c>
      <c r="C21" s="170"/>
      <c r="D21" s="170"/>
      <c r="E21" s="123"/>
      <c r="F21" s="123"/>
      <c r="H21" s="126"/>
    </row>
    <row r="22" spans="1:8" x14ac:dyDescent="0.25">
      <c r="A22" s="13">
        <v>4225</v>
      </c>
      <c r="B22" s="13" t="s">
        <v>19</v>
      </c>
      <c r="C22" s="170"/>
      <c r="D22" s="170"/>
      <c r="E22" s="123"/>
      <c r="F22" s="123"/>
      <c r="H22" s="126"/>
    </row>
    <row r="23" spans="1:8" x14ac:dyDescent="0.25">
      <c r="A23" s="13">
        <v>4300</v>
      </c>
      <c r="B23" s="13" t="s">
        <v>18</v>
      </c>
      <c r="C23" s="170"/>
      <c r="D23" s="170"/>
      <c r="E23" s="123"/>
      <c r="F23" s="123"/>
      <c r="H23" s="126"/>
    </row>
    <row r="24" spans="1:8" x14ac:dyDescent="0.25">
      <c r="A24" s="13">
        <v>5000</v>
      </c>
      <c r="B24" s="13" t="s">
        <v>20</v>
      </c>
      <c r="C24" s="170"/>
      <c r="D24" s="170"/>
      <c r="E24" s="123"/>
      <c r="F24" s="123"/>
      <c r="H24" s="126"/>
    </row>
    <row r="25" spans="1:8" x14ac:dyDescent="0.25">
      <c r="A25" s="13">
        <v>6315</v>
      </c>
      <c r="B25" s="13" t="s">
        <v>22</v>
      </c>
      <c r="C25" s="170"/>
      <c r="D25" s="170"/>
      <c r="E25" s="123"/>
      <c r="F25" s="123"/>
      <c r="H25" s="126"/>
    </row>
    <row r="26" spans="1:8" x14ac:dyDescent="0.25">
      <c r="A26" s="13">
        <v>6316</v>
      </c>
      <c r="B26" s="13" t="s">
        <v>39</v>
      </c>
      <c r="C26" s="170"/>
      <c r="D26" s="170"/>
      <c r="E26" s="123"/>
      <c r="F26" s="123"/>
      <c r="H26" s="126"/>
    </row>
    <row r="27" spans="1:8" x14ac:dyDescent="0.25">
      <c r="A27" s="13">
        <v>6320</v>
      </c>
      <c r="B27" s="13" t="s">
        <v>23</v>
      </c>
      <c r="C27" s="170"/>
      <c r="D27" s="170"/>
      <c r="E27" s="123"/>
      <c r="F27" s="123"/>
      <c r="H27" s="126"/>
    </row>
    <row r="28" spans="1:8" x14ac:dyDescent="0.25">
      <c r="A28" s="13">
        <v>6340</v>
      </c>
      <c r="B28" s="13" t="s">
        <v>41</v>
      </c>
      <c r="C28" s="170"/>
      <c r="D28" s="170"/>
      <c r="E28" s="123"/>
      <c r="F28" s="123"/>
      <c r="H28" s="126"/>
    </row>
    <row r="29" spans="1:8" x14ac:dyDescent="0.25">
      <c r="A29" s="13">
        <v>6340</v>
      </c>
      <c r="B29" s="13" t="s">
        <v>42</v>
      </c>
      <c r="C29" s="170"/>
      <c r="D29" s="170"/>
      <c r="E29" s="123"/>
      <c r="F29" s="123"/>
      <c r="H29" s="126"/>
    </row>
    <row r="30" spans="1:8" x14ac:dyDescent="0.25">
      <c r="A30" s="13">
        <v>6550</v>
      </c>
      <c r="B30" s="13" t="s">
        <v>40</v>
      </c>
      <c r="C30" s="170"/>
      <c r="D30" s="170"/>
      <c r="E30" s="123">
        <f>500+10000+2500</f>
        <v>13000</v>
      </c>
      <c r="F30" s="123"/>
      <c r="H30" s="126"/>
    </row>
    <row r="31" spans="1:8" x14ac:dyDescent="0.25">
      <c r="A31" s="13">
        <v>6600</v>
      </c>
      <c r="B31" s="13" t="s">
        <v>24</v>
      </c>
      <c r="C31" s="170"/>
      <c r="D31" s="170"/>
      <c r="E31" s="123"/>
      <c r="F31" s="123"/>
      <c r="H31" s="126"/>
    </row>
    <row r="32" spans="1:8" x14ac:dyDescent="0.25">
      <c r="A32" s="13">
        <v>6620</v>
      </c>
      <c r="B32" s="13" t="s">
        <v>25</v>
      </c>
      <c r="C32" s="170"/>
      <c r="D32" s="170"/>
      <c r="E32" s="123"/>
      <c r="F32" s="123"/>
      <c r="H32" s="126"/>
    </row>
    <row r="33" spans="1:8" x14ac:dyDescent="0.25">
      <c r="A33" s="13">
        <v>6630</v>
      </c>
      <c r="B33" s="13" t="s">
        <v>47</v>
      </c>
      <c r="C33" s="170"/>
      <c r="D33" s="170"/>
      <c r="E33" s="123"/>
      <c r="F33" s="123"/>
      <c r="H33" s="126"/>
    </row>
    <row r="34" spans="1:8" x14ac:dyDescent="0.25">
      <c r="A34" s="13">
        <v>6705</v>
      </c>
      <c r="B34" s="136" t="s">
        <v>28</v>
      </c>
      <c r="C34" s="172"/>
      <c r="D34" s="172"/>
      <c r="E34" s="123"/>
      <c r="F34" s="123"/>
      <c r="H34" s="126"/>
    </row>
    <row r="35" spans="1:8" x14ac:dyDescent="0.25">
      <c r="A35" s="13">
        <v>6800</v>
      </c>
      <c r="B35" s="13" t="s">
        <v>43</v>
      </c>
      <c r="C35" s="170"/>
      <c r="D35" s="170"/>
      <c r="E35" s="123"/>
      <c r="F35" s="123"/>
      <c r="H35" s="126"/>
    </row>
    <row r="36" spans="1:8" x14ac:dyDescent="0.25">
      <c r="A36" s="13">
        <v>6840</v>
      </c>
      <c r="B36" s="13" t="s">
        <v>26</v>
      </c>
      <c r="C36" s="170"/>
      <c r="D36" s="170"/>
      <c r="E36" s="123"/>
      <c r="F36" s="123"/>
      <c r="H36" s="126"/>
    </row>
    <row r="37" spans="1:8" x14ac:dyDescent="0.25">
      <c r="A37" s="13">
        <v>6860</v>
      </c>
      <c r="B37" s="13" t="s">
        <v>27</v>
      </c>
      <c r="C37" s="170"/>
      <c r="D37" s="170"/>
      <c r="E37" s="123"/>
      <c r="F37" s="123"/>
      <c r="H37" s="126"/>
    </row>
    <row r="38" spans="1:8" x14ac:dyDescent="0.25">
      <c r="A38" s="13">
        <v>6900</v>
      </c>
      <c r="B38" s="136" t="s">
        <v>44</v>
      </c>
      <c r="C38" s="172"/>
      <c r="D38" s="172"/>
      <c r="E38" s="123"/>
      <c r="F38" s="123"/>
      <c r="H38" s="126"/>
    </row>
    <row r="39" spans="1:8" x14ac:dyDescent="0.25">
      <c r="A39" s="13">
        <v>6940</v>
      </c>
      <c r="B39" s="13" t="s">
        <v>29</v>
      </c>
      <c r="C39" s="170"/>
      <c r="D39" s="170"/>
      <c r="E39" s="123"/>
      <c r="F39" s="123"/>
      <c r="H39" s="126"/>
    </row>
    <row r="40" spans="1:8" x14ac:dyDescent="0.25">
      <c r="A40" s="13">
        <v>7000</v>
      </c>
      <c r="B40" s="13" t="s">
        <v>48</v>
      </c>
      <c r="C40" s="170"/>
      <c r="D40" s="170"/>
      <c r="E40" s="123"/>
      <c r="F40" s="123"/>
      <c r="H40" s="126"/>
    </row>
    <row r="41" spans="1:8" x14ac:dyDescent="0.25">
      <c r="A41" s="13">
        <v>7140</v>
      </c>
      <c r="B41" s="13" t="s">
        <v>45</v>
      </c>
      <c r="C41" s="170"/>
      <c r="D41" s="170"/>
      <c r="E41" s="123"/>
      <c r="F41" s="123"/>
      <c r="H41" s="126"/>
    </row>
    <row r="42" spans="1:8" x14ac:dyDescent="0.25">
      <c r="A42" s="13">
        <v>7320</v>
      </c>
      <c r="B42" s="136" t="s">
        <v>30</v>
      </c>
      <c r="C42" s="172"/>
      <c r="D42" s="172"/>
      <c r="E42" s="123"/>
      <c r="F42" s="123"/>
      <c r="H42" s="126"/>
    </row>
    <row r="43" spans="1:8" x14ac:dyDescent="0.25">
      <c r="A43" s="13">
        <v>7400</v>
      </c>
      <c r="B43" s="13" t="s">
        <v>31</v>
      </c>
      <c r="C43" s="170"/>
      <c r="D43" s="170"/>
      <c r="E43" s="123">
        <v>2720</v>
      </c>
      <c r="F43" s="123"/>
      <c r="H43" s="126"/>
    </row>
    <row r="44" spans="1:8" x14ac:dyDescent="0.25">
      <c r="A44" s="13">
        <v>7420</v>
      </c>
      <c r="B44" s="13" t="s">
        <v>12</v>
      </c>
      <c r="C44" s="170"/>
      <c r="D44" s="170"/>
      <c r="E44" s="123"/>
      <c r="F44" s="123"/>
      <c r="H44" s="126"/>
    </row>
    <row r="45" spans="1:8" x14ac:dyDescent="0.25">
      <c r="A45" s="13">
        <v>7500</v>
      </c>
      <c r="B45" s="13" t="s">
        <v>21</v>
      </c>
      <c r="C45" s="170"/>
      <c r="D45" s="170"/>
      <c r="E45" s="123"/>
      <c r="F45" s="123"/>
      <c r="H45" s="126"/>
    </row>
    <row r="46" spans="1:8" x14ac:dyDescent="0.25">
      <c r="A46" s="13">
        <v>7745</v>
      </c>
      <c r="B46" s="13" t="s">
        <v>92</v>
      </c>
      <c r="C46" s="170"/>
      <c r="D46" s="170"/>
      <c r="E46" s="123">
        <v>10000</v>
      </c>
      <c r="F46" s="123"/>
      <c r="H46" s="126"/>
    </row>
    <row r="47" spans="1:8" x14ac:dyDescent="0.25">
      <c r="A47" s="13">
        <v>7750</v>
      </c>
      <c r="B47" s="13" t="s">
        <v>32</v>
      </c>
      <c r="C47" s="170"/>
      <c r="D47" s="170"/>
      <c r="E47" s="123">
        <v>6000</v>
      </c>
      <c r="F47" s="123"/>
      <c r="H47" s="126"/>
    </row>
    <row r="48" spans="1:8" x14ac:dyDescent="0.25">
      <c r="A48" s="13">
        <v>7755</v>
      </c>
      <c r="B48" s="13" t="s">
        <v>33</v>
      </c>
      <c r="C48" s="170"/>
      <c r="D48" s="170"/>
      <c r="E48" s="123">
        <v>3000</v>
      </c>
      <c r="F48" s="123"/>
      <c r="H48" s="126"/>
    </row>
    <row r="49" spans="1:8" x14ac:dyDescent="0.25">
      <c r="A49" s="13">
        <v>7770</v>
      </c>
      <c r="B49" s="13" t="s">
        <v>46</v>
      </c>
      <c r="C49" s="179"/>
      <c r="D49" s="179"/>
      <c r="E49" s="123"/>
      <c r="F49" s="123"/>
      <c r="H49" s="126"/>
    </row>
    <row r="50" spans="1:8" x14ac:dyDescent="0.25">
      <c r="A50" s="13">
        <v>7790</v>
      </c>
      <c r="B50" s="13" t="s">
        <v>34</v>
      </c>
      <c r="C50" s="170"/>
      <c r="D50" s="170"/>
      <c r="E50" s="123">
        <v>1000</v>
      </c>
      <c r="F50" s="123"/>
      <c r="H50" s="126"/>
    </row>
    <row r="51" spans="1:8" x14ac:dyDescent="0.25">
      <c r="A51" s="13">
        <v>6010</v>
      </c>
      <c r="B51" s="136" t="s">
        <v>35</v>
      </c>
      <c r="C51" s="172"/>
      <c r="D51" s="172"/>
      <c r="E51" s="123"/>
      <c r="F51" s="123"/>
      <c r="H51" s="126"/>
    </row>
    <row r="52" spans="1:8" x14ac:dyDescent="0.25">
      <c r="A52" s="13"/>
      <c r="B52" s="26" t="s">
        <v>36</v>
      </c>
      <c r="C52" s="169"/>
      <c r="D52" s="141">
        <f>SUM(D19:D51)</f>
        <v>0</v>
      </c>
      <c r="E52" s="141">
        <f>SUM(E19:E51)</f>
        <v>35720</v>
      </c>
      <c r="F52" s="141">
        <f t="shared" ref="F52" si="1">SUM(F19:F51)</f>
        <v>0</v>
      </c>
      <c r="H52" s="126"/>
    </row>
    <row r="53" spans="1:8" x14ac:dyDescent="0.25">
      <c r="A53" s="13"/>
      <c r="B53" s="33"/>
      <c r="C53" s="175"/>
      <c r="D53" s="175"/>
      <c r="E53" s="123"/>
      <c r="F53" s="123"/>
      <c r="H53" s="126"/>
    </row>
    <row r="54" spans="1:8" x14ac:dyDescent="0.25">
      <c r="A54" s="13"/>
      <c r="B54" s="26" t="s">
        <v>38</v>
      </c>
      <c r="C54" s="169"/>
      <c r="D54" s="141">
        <f>D18-D52</f>
        <v>12000</v>
      </c>
      <c r="E54" s="141">
        <f>E18-E52</f>
        <v>1080</v>
      </c>
      <c r="F54" s="141">
        <f t="shared" ref="F54" si="2">F18+F52</f>
        <v>0</v>
      </c>
      <c r="H54" s="126"/>
    </row>
    <row r="55" spans="1:8" x14ac:dyDescent="0.25">
      <c r="A55" s="136"/>
      <c r="B55" s="136"/>
      <c r="C55" s="172"/>
      <c r="D55" s="172"/>
      <c r="E55" s="122"/>
      <c r="F55" s="122"/>
      <c r="H55" s="126"/>
    </row>
    <row r="56" spans="1:8" x14ac:dyDescent="0.25">
      <c r="A56" s="136"/>
      <c r="B56" s="24" t="s">
        <v>49</v>
      </c>
      <c r="C56" s="176"/>
      <c r="D56" s="176"/>
      <c r="E56" s="122"/>
      <c r="F56" s="122"/>
      <c r="H56" s="15"/>
    </row>
    <row r="57" spans="1:8" x14ac:dyDescent="0.25">
      <c r="A57" s="136"/>
      <c r="B57" s="136" t="s">
        <v>50</v>
      </c>
      <c r="C57" s="172"/>
      <c r="D57" s="172"/>
      <c r="E57" s="124"/>
      <c r="F57" s="124"/>
      <c r="H57" s="15"/>
    </row>
    <row r="58" spans="1:8" x14ac:dyDescent="0.25">
      <c r="A58" s="136"/>
      <c r="B58" s="136" t="s">
        <v>52</v>
      </c>
      <c r="C58" s="172"/>
      <c r="D58" s="172"/>
      <c r="E58" s="124"/>
      <c r="F58" s="124"/>
      <c r="H58" s="16"/>
    </row>
    <row r="59" spans="1:8" x14ac:dyDescent="0.25">
      <c r="A59" s="136"/>
      <c r="B59" s="34" t="s">
        <v>53</v>
      </c>
      <c r="C59" s="177"/>
      <c r="D59" s="142">
        <f t="shared" ref="D59:F59" si="3">D57+D58</f>
        <v>0</v>
      </c>
      <c r="E59" s="142">
        <f t="shared" si="3"/>
        <v>0</v>
      </c>
      <c r="F59" s="142">
        <f t="shared" si="3"/>
        <v>0</v>
      </c>
      <c r="H59" s="16"/>
    </row>
    <row r="60" spans="1:8" x14ac:dyDescent="0.25">
      <c r="A60" s="136"/>
      <c r="B60" s="136"/>
      <c r="C60" s="172"/>
      <c r="D60" s="172"/>
      <c r="E60" s="122"/>
      <c r="F60" s="122"/>
      <c r="H60" s="120"/>
    </row>
    <row r="61" spans="1:8" x14ac:dyDescent="0.25">
      <c r="A61" s="136"/>
      <c r="B61" s="36" t="s">
        <v>37</v>
      </c>
      <c r="C61" s="178"/>
      <c r="D61" s="143">
        <f t="shared" ref="D61:F61" si="4">D54+D59</f>
        <v>12000</v>
      </c>
      <c r="E61" s="143">
        <f t="shared" si="4"/>
        <v>1080</v>
      </c>
      <c r="F61" s="143">
        <f t="shared" si="4"/>
        <v>0</v>
      </c>
      <c r="H61" s="15"/>
    </row>
    <row r="62" spans="1:8" x14ac:dyDescent="0.25">
      <c r="H62" s="120"/>
    </row>
    <row r="63" spans="1:8" x14ac:dyDescent="0.25">
      <c r="B63" s="115" t="s">
        <v>87</v>
      </c>
      <c r="C63" s="115"/>
      <c r="D63" s="115"/>
    </row>
    <row r="64" spans="1:8" x14ac:dyDescent="0.25">
      <c r="B64" s="144" t="s">
        <v>130</v>
      </c>
    </row>
  </sheetData>
  <pageMargins left="0.7" right="0.7" top="0.75" bottom="0.75" header="0.3" footer="0.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workbookViewId="0">
      <pane xSplit="2" ySplit="3" topLeftCell="C9" activePane="bottomRight" state="frozen"/>
      <selection pane="topRight" activeCell="C1" sqref="C1"/>
      <selection pane="bottomLeft" activeCell="A4" sqref="A4"/>
      <selection pane="bottomRight" activeCell="J28" sqref="J28:J29"/>
    </sheetView>
  </sheetViews>
  <sheetFormatPr baseColWidth="10" defaultRowHeight="15" x14ac:dyDescent="0.25"/>
  <cols>
    <col min="1" max="1" width="7.42578125" customWidth="1"/>
    <col min="2" max="2" width="28.28515625" customWidth="1"/>
    <col min="3" max="3" width="7.5703125" style="144" customWidth="1"/>
    <col min="4" max="4" width="14.5703125" bestFit="1" customWidth="1"/>
    <col min="5" max="5" width="15.7109375" customWidth="1"/>
    <col min="6" max="6" width="15.7109375" bestFit="1" customWidth="1"/>
    <col min="7" max="7" width="13.28515625" bestFit="1" customWidth="1"/>
    <col min="8" max="8" width="15.7109375" style="144" customWidth="1"/>
    <col min="9" max="10" width="13.28515625" style="144" customWidth="1"/>
  </cols>
  <sheetData>
    <row r="1" spans="1:16" ht="23.25" x14ac:dyDescent="0.35">
      <c r="B1" s="1" t="s">
        <v>144</v>
      </c>
      <c r="C1" s="1"/>
      <c r="D1" s="2"/>
      <c r="E1" s="3"/>
      <c r="F1" s="3"/>
      <c r="G1" s="3"/>
      <c r="H1" s="3"/>
      <c r="I1" s="3"/>
      <c r="J1" s="3"/>
      <c r="O1" s="4"/>
      <c r="P1" s="4"/>
    </row>
    <row r="2" spans="1:16" ht="23.25" x14ac:dyDescent="0.35">
      <c r="B2" s="1"/>
      <c r="C2" s="1"/>
      <c r="D2" s="2"/>
      <c r="E2" s="3"/>
      <c r="F2" s="3"/>
      <c r="G2" s="3"/>
      <c r="H2" s="3"/>
      <c r="I2" s="3"/>
      <c r="J2" s="3"/>
      <c r="K2" s="15"/>
      <c r="L2" s="15"/>
      <c r="O2" s="4"/>
      <c r="P2" s="4"/>
    </row>
    <row r="3" spans="1:16" ht="21.6" customHeight="1" x14ac:dyDescent="0.25">
      <c r="A3" s="27" t="s">
        <v>0</v>
      </c>
      <c r="B3" s="26" t="s">
        <v>1</v>
      </c>
      <c r="C3" s="169" t="s">
        <v>77</v>
      </c>
      <c r="D3" s="27" t="s">
        <v>89</v>
      </c>
      <c r="E3" s="27" t="s">
        <v>112</v>
      </c>
      <c r="F3" s="27" t="s">
        <v>136</v>
      </c>
      <c r="G3" s="27" t="s">
        <v>108</v>
      </c>
      <c r="H3" s="27" t="s">
        <v>138</v>
      </c>
      <c r="I3" s="27" t="s">
        <v>128</v>
      </c>
      <c r="J3" s="27" t="s">
        <v>160</v>
      </c>
      <c r="K3" s="17"/>
      <c r="L3" s="17"/>
      <c r="M3" s="17"/>
      <c r="N3" s="17"/>
      <c r="O3" s="18"/>
      <c r="P3" s="18"/>
    </row>
    <row r="4" spans="1:16" x14ac:dyDescent="0.25">
      <c r="A4" s="13">
        <v>3110</v>
      </c>
      <c r="B4" s="13" t="s">
        <v>2</v>
      </c>
      <c r="C4" s="170"/>
      <c r="D4" s="138">
        <v>65172.5</v>
      </c>
      <c r="E4" s="138">
        <v>78566</v>
      </c>
      <c r="F4" s="138">
        <v>78674.600000000006</v>
      </c>
      <c r="G4" s="28">
        <v>75000</v>
      </c>
      <c r="H4" s="138">
        <f>67955-5902</f>
        <v>62053</v>
      </c>
      <c r="I4" s="138">
        <v>75000</v>
      </c>
      <c r="J4" s="138">
        <v>75000</v>
      </c>
      <c r="K4" s="20"/>
      <c r="L4" s="20"/>
      <c r="M4" s="20"/>
      <c r="N4" s="20"/>
      <c r="O4" s="19"/>
      <c r="P4" s="19"/>
    </row>
    <row r="5" spans="1:16" x14ac:dyDescent="0.25">
      <c r="A5" s="13">
        <v>3115</v>
      </c>
      <c r="B5" s="13" t="s">
        <v>3</v>
      </c>
      <c r="C5" s="170"/>
      <c r="D5" s="138"/>
      <c r="E5" s="138"/>
      <c r="F5" s="138"/>
      <c r="G5" s="28"/>
      <c r="H5" s="138"/>
      <c r="I5" s="138"/>
      <c r="J5" s="138"/>
      <c r="K5" s="20"/>
      <c r="L5" s="20"/>
      <c r="M5" s="20"/>
      <c r="N5" s="20"/>
      <c r="O5" s="19"/>
      <c r="P5" s="19"/>
    </row>
    <row r="6" spans="1:16" x14ac:dyDescent="0.25">
      <c r="A6" s="13">
        <v>3400</v>
      </c>
      <c r="B6" s="13" t="s">
        <v>4</v>
      </c>
      <c r="C6" s="170"/>
      <c r="D6" s="138"/>
      <c r="E6" s="138"/>
      <c r="F6" s="138"/>
      <c r="G6" s="28"/>
      <c r="H6" s="138"/>
      <c r="I6" s="138"/>
      <c r="J6" s="138"/>
      <c r="K6" s="20"/>
      <c r="L6" s="20"/>
      <c r="M6" s="20"/>
      <c r="N6" s="20"/>
      <c r="O6" s="19"/>
      <c r="P6" s="19"/>
    </row>
    <row r="7" spans="1:16" x14ac:dyDescent="0.25">
      <c r="A7" s="13">
        <v>3440</v>
      </c>
      <c r="B7" s="13" t="s">
        <v>55</v>
      </c>
      <c r="C7" s="170"/>
      <c r="D7" s="138"/>
      <c r="E7" s="138"/>
      <c r="F7" s="138"/>
      <c r="G7" s="28"/>
      <c r="H7" s="219"/>
      <c r="I7" s="138"/>
      <c r="J7" s="138"/>
      <c r="K7" s="20" t="s">
        <v>130</v>
      </c>
      <c r="L7" s="20"/>
      <c r="M7" s="20"/>
      <c r="N7" s="20"/>
      <c r="O7" s="19"/>
      <c r="P7" s="19"/>
    </row>
    <row r="8" spans="1:16" x14ac:dyDescent="0.25">
      <c r="A8" s="13">
        <v>3605</v>
      </c>
      <c r="B8" s="13" t="s">
        <v>5</v>
      </c>
      <c r="C8" s="170"/>
      <c r="D8" s="138"/>
      <c r="E8" s="138"/>
      <c r="F8" s="138">
        <v>500</v>
      </c>
      <c r="G8" s="28"/>
      <c r="H8" s="219">
        <v>950</v>
      </c>
      <c r="I8" s="138"/>
      <c r="J8" s="138"/>
      <c r="K8" s="20" t="s">
        <v>130</v>
      </c>
      <c r="L8" s="20"/>
      <c r="M8" s="20"/>
      <c r="N8" s="20"/>
      <c r="O8" s="19"/>
      <c r="P8" s="19"/>
    </row>
    <row r="9" spans="1:16" x14ac:dyDescent="0.25">
      <c r="A9" s="13">
        <v>3620</v>
      </c>
      <c r="B9" s="23" t="s">
        <v>109</v>
      </c>
      <c r="C9" s="172"/>
      <c r="D9" s="138"/>
      <c r="E9" s="138">
        <v>220000</v>
      </c>
      <c r="F9" s="138"/>
      <c r="G9" s="28">
        <v>0</v>
      </c>
      <c r="H9" s="138"/>
      <c r="I9" s="138"/>
      <c r="J9" s="138"/>
      <c r="K9" s="20"/>
      <c r="L9" s="20"/>
      <c r="M9" s="20"/>
      <c r="N9" s="20"/>
      <c r="O9" s="19"/>
      <c r="P9" s="19"/>
    </row>
    <row r="10" spans="1:16" x14ac:dyDescent="0.25">
      <c r="A10" s="13">
        <v>3920</v>
      </c>
      <c r="B10" s="13" t="s">
        <v>6</v>
      </c>
      <c r="C10" s="170"/>
      <c r="D10" s="138">
        <v>30700</v>
      </c>
      <c r="E10" s="138">
        <v>28620</v>
      </c>
      <c r="F10" s="138">
        <f>38250+200</f>
        <v>38450</v>
      </c>
      <c r="G10" s="28">
        <v>30000</v>
      </c>
      <c r="H10" s="138">
        <v>32850</v>
      </c>
      <c r="I10" s="138">
        <v>30000</v>
      </c>
      <c r="J10" s="138">
        <v>30000</v>
      </c>
      <c r="K10" s="20" t="s">
        <v>130</v>
      </c>
      <c r="L10" s="20"/>
      <c r="M10" s="20"/>
      <c r="N10" s="20"/>
      <c r="O10" s="19"/>
      <c r="P10" s="19"/>
    </row>
    <row r="11" spans="1:16" x14ac:dyDescent="0.25">
      <c r="A11" s="13">
        <v>3925</v>
      </c>
      <c r="B11" s="13" t="s">
        <v>7</v>
      </c>
      <c r="C11" s="170"/>
      <c r="D11" s="138"/>
      <c r="E11" s="138"/>
      <c r="F11" s="138"/>
      <c r="G11" s="28"/>
      <c r="H11" s="219"/>
      <c r="I11" s="138"/>
      <c r="J11" s="138"/>
      <c r="K11" s="20"/>
      <c r="L11" s="20"/>
      <c r="M11" s="20"/>
      <c r="N11" s="20"/>
      <c r="O11" s="19"/>
      <c r="P11" s="19"/>
    </row>
    <row r="12" spans="1:16" x14ac:dyDescent="0.25">
      <c r="A12" s="13">
        <v>3926</v>
      </c>
      <c r="B12" s="23" t="s">
        <v>13</v>
      </c>
      <c r="C12" s="172"/>
      <c r="D12" s="138">
        <v>32566</v>
      </c>
      <c r="E12" s="138">
        <v>62202</v>
      </c>
      <c r="F12" s="138">
        <v>69198</v>
      </c>
      <c r="G12" s="28">
        <f>55000+1000</f>
        <v>56000</v>
      </c>
      <c r="H12" s="138">
        <v>97413</v>
      </c>
      <c r="I12" s="138">
        <v>50000</v>
      </c>
      <c r="J12" s="138">
        <v>58000</v>
      </c>
      <c r="K12" s="20"/>
      <c r="L12" s="20"/>
      <c r="M12" s="20"/>
      <c r="N12" s="20"/>
      <c r="O12" s="19"/>
      <c r="P12" s="19"/>
    </row>
    <row r="13" spans="1:16" x14ac:dyDescent="0.25">
      <c r="A13" s="13">
        <v>3950</v>
      </c>
      <c r="B13" s="13" t="s">
        <v>9</v>
      </c>
      <c r="C13" s="170"/>
      <c r="D13" s="138"/>
      <c r="E13" s="138">
        <v>11000</v>
      </c>
      <c r="F13" s="138"/>
      <c r="G13" s="28"/>
      <c r="H13" s="138"/>
      <c r="I13" s="138"/>
      <c r="J13" s="138"/>
      <c r="K13" s="20"/>
      <c r="L13" s="20"/>
      <c r="M13" s="20"/>
      <c r="N13" s="20"/>
      <c r="O13" s="19"/>
      <c r="P13" s="19"/>
    </row>
    <row r="14" spans="1:16" x14ac:dyDescent="0.25">
      <c r="A14" s="13">
        <v>3970</v>
      </c>
      <c r="B14" s="13" t="s">
        <v>10</v>
      </c>
      <c r="C14" s="170"/>
      <c r="D14" s="138">
        <v>68800</v>
      </c>
      <c r="E14" s="138">
        <v>124200</v>
      </c>
      <c r="F14" s="138">
        <v>153000</v>
      </c>
      <c r="G14" s="28">
        <v>150000</v>
      </c>
      <c r="H14" s="219">
        <f>88817+60000</f>
        <v>148817</v>
      </c>
      <c r="I14" s="138">
        <v>150000</v>
      </c>
      <c r="J14" s="138">
        <v>150000</v>
      </c>
      <c r="K14" s="20"/>
      <c r="L14" s="20"/>
      <c r="M14" s="20"/>
      <c r="N14" s="20"/>
      <c r="O14" s="19"/>
      <c r="P14" s="19"/>
    </row>
    <row r="15" spans="1:16" x14ac:dyDescent="0.25">
      <c r="A15" s="13">
        <v>3975</v>
      </c>
      <c r="B15" s="13" t="s">
        <v>11</v>
      </c>
      <c r="C15" s="170"/>
      <c r="D15" s="138">
        <f>88500+500</f>
        <v>89000</v>
      </c>
      <c r="E15" s="138">
        <v>63450</v>
      </c>
      <c r="F15" s="138">
        <v>76250</v>
      </c>
      <c r="G15" s="28">
        <v>80000</v>
      </c>
      <c r="H15" s="219">
        <v>96457</v>
      </c>
      <c r="I15" s="138">
        <v>80000</v>
      </c>
      <c r="J15" s="138">
        <v>80000</v>
      </c>
      <c r="K15" s="20"/>
      <c r="L15" s="20"/>
      <c r="M15" s="20"/>
      <c r="N15" s="20"/>
      <c r="O15" s="19"/>
      <c r="P15" s="19"/>
    </row>
    <row r="16" spans="1:16" x14ac:dyDescent="0.25">
      <c r="A16" s="13">
        <v>3980</v>
      </c>
      <c r="B16" s="13" t="s">
        <v>12</v>
      </c>
      <c r="C16" s="170"/>
      <c r="D16" s="138">
        <v>2010</v>
      </c>
      <c r="E16" s="138">
        <v>1406</v>
      </c>
      <c r="F16" s="138">
        <v>14654</v>
      </c>
      <c r="G16" s="28"/>
      <c r="H16" s="138">
        <f>119697-60000</f>
        <v>59697</v>
      </c>
      <c r="I16" s="138"/>
      <c r="J16" s="138"/>
      <c r="K16" s="20"/>
      <c r="L16" s="20"/>
      <c r="M16" s="20"/>
      <c r="N16" s="20"/>
      <c r="O16" s="19"/>
      <c r="P16" s="19"/>
    </row>
    <row r="17" spans="1:16" x14ac:dyDescent="0.25">
      <c r="A17" s="13">
        <v>3990</v>
      </c>
      <c r="B17" s="23" t="s">
        <v>8</v>
      </c>
      <c r="C17" s="172"/>
      <c r="D17" s="138">
        <v>47333.440000000002</v>
      </c>
      <c r="E17" s="138">
        <v>44400</v>
      </c>
      <c r="F17" s="138">
        <v>49195.51</v>
      </c>
      <c r="G17" s="28">
        <v>45000</v>
      </c>
      <c r="H17" s="219">
        <f>18940.64+38991.31</f>
        <v>57931.95</v>
      </c>
      <c r="I17" s="138">
        <v>50000</v>
      </c>
      <c r="J17" s="138">
        <v>55000</v>
      </c>
      <c r="K17" s="20"/>
      <c r="L17" s="20"/>
      <c r="M17" s="20"/>
      <c r="N17" s="20"/>
      <c r="O17" s="19"/>
      <c r="P17" s="19"/>
    </row>
    <row r="18" spans="1:16" x14ac:dyDescent="0.25">
      <c r="A18" s="13"/>
      <c r="B18" s="30" t="s">
        <v>14</v>
      </c>
      <c r="C18" s="173"/>
      <c r="D18" s="140">
        <f t="shared" ref="D18:J18" si="0">SUM(D4:D17)</f>
        <v>335581.94</v>
      </c>
      <c r="E18" s="140">
        <f t="shared" si="0"/>
        <v>633844</v>
      </c>
      <c r="F18" s="140">
        <f t="shared" si="0"/>
        <v>479922.11</v>
      </c>
      <c r="G18" s="31">
        <f>SUM(G4:G17)</f>
        <v>436000</v>
      </c>
      <c r="H18" s="140">
        <f>SUM(H4:H17)</f>
        <v>556168.94999999995</v>
      </c>
      <c r="I18" s="140">
        <f t="shared" si="0"/>
        <v>435000</v>
      </c>
      <c r="J18" s="140">
        <f t="shared" si="0"/>
        <v>448000</v>
      </c>
      <c r="K18" s="20"/>
      <c r="L18" s="20"/>
      <c r="M18" s="20"/>
      <c r="N18" s="20"/>
      <c r="O18" s="19"/>
      <c r="P18" s="19"/>
    </row>
    <row r="19" spans="1:16" x14ac:dyDescent="0.25">
      <c r="A19" s="13"/>
      <c r="B19" s="12" t="s">
        <v>15</v>
      </c>
      <c r="C19" s="174"/>
      <c r="D19" s="135"/>
      <c r="E19" s="135"/>
      <c r="F19" s="135"/>
      <c r="G19" s="22"/>
      <c r="H19" s="135"/>
      <c r="I19" s="135"/>
      <c r="J19" s="135"/>
      <c r="K19" s="20"/>
      <c r="L19" s="20"/>
      <c r="M19" s="20"/>
      <c r="N19" s="20"/>
      <c r="O19" s="19"/>
      <c r="P19" s="19"/>
    </row>
    <row r="20" spans="1:16" x14ac:dyDescent="0.25">
      <c r="A20" s="13">
        <v>4210</v>
      </c>
      <c r="B20" s="13" t="s">
        <v>16</v>
      </c>
      <c r="C20" s="170"/>
      <c r="D20" s="135"/>
      <c r="E20" s="135">
        <v>207</v>
      </c>
      <c r="F20" s="123"/>
      <c r="G20" s="22"/>
      <c r="H20" s="123"/>
      <c r="I20" s="135"/>
      <c r="J20" s="135"/>
      <c r="K20" s="20"/>
      <c r="L20" s="20"/>
      <c r="M20" s="20"/>
      <c r="N20" s="20"/>
      <c r="O20" s="19"/>
      <c r="P20" s="19"/>
    </row>
    <row r="21" spans="1:16" x14ac:dyDescent="0.25">
      <c r="A21" s="13">
        <v>4220</v>
      </c>
      <c r="B21" s="13" t="s">
        <v>17</v>
      </c>
      <c r="C21" s="170"/>
      <c r="D21" s="135"/>
      <c r="E21" s="135"/>
      <c r="F21" s="123"/>
      <c r="G21" s="22"/>
      <c r="H21" s="123"/>
      <c r="I21" s="135"/>
      <c r="J21" s="135"/>
      <c r="K21" s="20"/>
      <c r="L21" s="20"/>
      <c r="M21" s="20"/>
      <c r="N21" s="20"/>
      <c r="O21" s="19"/>
      <c r="P21" s="19"/>
    </row>
    <row r="22" spans="1:16" x14ac:dyDescent="0.25">
      <c r="A22" s="13">
        <v>4225</v>
      </c>
      <c r="B22" s="13" t="s">
        <v>19</v>
      </c>
      <c r="C22" s="170"/>
      <c r="D22" s="135">
        <v>30000</v>
      </c>
      <c r="E22" s="135">
        <v>30000</v>
      </c>
      <c r="F22" s="123">
        <v>43950</v>
      </c>
      <c r="G22" s="22">
        <v>30000</v>
      </c>
      <c r="H22" s="220">
        <v>58950</v>
      </c>
      <c r="I22" s="135">
        <v>43000</v>
      </c>
      <c r="J22" s="135">
        <v>50000</v>
      </c>
      <c r="K22" s="20"/>
      <c r="L22" s="20"/>
      <c r="M22" s="20"/>
      <c r="N22" s="20"/>
      <c r="O22" s="19"/>
      <c r="P22" s="19"/>
    </row>
    <row r="23" spans="1:16" x14ac:dyDescent="0.25">
      <c r="A23" s="13">
        <v>4300</v>
      </c>
      <c r="B23" s="13" t="s">
        <v>18</v>
      </c>
      <c r="C23" s="170"/>
      <c r="D23" s="135">
        <v>49443.03</v>
      </c>
      <c r="E23" s="135">
        <v>51365</v>
      </c>
      <c r="F23" s="123">
        <v>57684.15</v>
      </c>
      <c r="G23" s="22">
        <v>55000</v>
      </c>
      <c r="H23" s="123">
        <f>47419.56+1608+1608</f>
        <v>50635.56</v>
      </c>
      <c r="I23" s="135">
        <v>55000</v>
      </c>
      <c r="J23" s="135">
        <v>50000</v>
      </c>
      <c r="K23" s="20"/>
      <c r="L23" s="20"/>
      <c r="M23" s="20"/>
      <c r="N23" s="20"/>
      <c r="O23" s="19"/>
      <c r="P23" s="19"/>
    </row>
    <row r="24" spans="1:16" x14ac:dyDescent="0.25">
      <c r="A24" s="13">
        <v>5000</v>
      </c>
      <c r="B24" s="13" t="s">
        <v>20</v>
      </c>
      <c r="C24" s="170"/>
      <c r="D24" s="135"/>
      <c r="E24" s="135"/>
      <c r="F24" s="123"/>
      <c r="G24" s="22"/>
      <c r="H24" s="123"/>
      <c r="I24" s="135"/>
      <c r="J24" s="135"/>
      <c r="K24" s="20"/>
      <c r="L24" s="20"/>
      <c r="M24" s="20"/>
      <c r="N24" s="20"/>
      <c r="O24" s="19"/>
      <c r="P24" s="19"/>
    </row>
    <row r="25" spans="1:16" x14ac:dyDescent="0.25">
      <c r="A25" s="13">
        <v>6315</v>
      </c>
      <c r="B25" s="13" t="s">
        <v>22</v>
      </c>
      <c r="C25" s="170"/>
      <c r="D25" s="135">
        <v>1457</v>
      </c>
      <c r="E25" s="135">
        <v>590</v>
      </c>
      <c r="F25" s="123"/>
      <c r="G25" s="22">
        <v>1000</v>
      </c>
      <c r="H25" s="123">
        <v>646.24</v>
      </c>
      <c r="I25" s="135">
        <v>1000</v>
      </c>
      <c r="J25" s="135"/>
      <c r="K25" s="20"/>
      <c r="L25" s="20"/>
      <c r="M25" s="20"/>
      <c r="N25" s="20"/>
      <c r="O25" s="19"/>
      <c r="P25" s="19"/>
    </row>
    <row r="26" spans="1:16" x14ac:dyDescent="0.25">
      <c r="A26" s="13">
        <v>6316</v>
      </c>
      <c r="B26" s="13" t="s">
        <v>39</v>
      </c>
      <c r="C26" s="170"/>
      <c r="D26" s="135"/>
      <c r="E26" s="135"/>
      <c r="F26" s="123"/>
      <c r="G26" s="22"/>
      <c r="H26" s="123">
        <f>3000-3000</f>
        <v>0</v>
      </c>
      <c r="I26" s="135"/>
      <c r="J26" s="135"/>
      <c r="K26" s="20"/>
      <c r="L26" s="20"/>
      <c r="M26" s="20"/>
      <c r="N26" s="20"/>
      <c r="O26" s="19"/>
      <c r="P26" s="19"/>
    </row>
    <row r="27" spans="1:16" x14ac:dyDescent="0.25">
      <c r="A27" s="13">
        <v>6320</v>
      </c>
      <c r="B27" s="13" t="s">
        <v>23</v>
      </c>
      <c r="C27" s="170"/>
      <c r="D27" s="135"/>
      <c r="E27" s="135"/>
      <c r="F27" s="123">
        <v>2450</v>
      </c>
      <c r="G27" s="22"/>
      <c r="H27" s="123">
        <v>2695</v>
      </c>
      <c r="I27" s="135"/>
      <c r="J27" s="135"/>
      <c r="K27" s="20"/>
      <c r="L27" s="20"/>
      <c r="M27" s="20"/>
      <c r="N27" s="20"/>
      <c r="O27" s="19"/>
      <c r="P27" s="19"/>
    </row>
    <row r="28" spans="1:16" x14ac:dyDescent="0.25">
      <c r="A28" s="13">
        <v>6340</v>
      </c>
      <c r="B28" s="13" t="s">
        <v>41</v>
      </c>
      <c r="C28" s="170"/>
      <c r="D28" s="135">
        <v>1934.62</v>
      </c>
      <c r="E28" s="135"/>
      <c r="F28" s="123"/>
      <c r="G28" s="22"/>
      <c r="H28" s="123"/>
      <c r="I28" s="135"/>
      <c r="J28" s="135"/>
      <c r="K28" s="20"/>
      <c r="L28" s="20"/>
      <c r="M28" s="20"/>
      <c r="N28" s="20"/>
      <c r="O28" s="19"/>
      <c r="P28" s="19"/>
    </row>
    <row r="29" spans="1:16" x14ac:dyDescent="0.25">
      <c r="A29" s="13">
        <v>6340</v>
      </c>
      <c r="B29" s="13" t="s">
        <v>42</v>
      </c>
      <c r="C29" s="170"/>
      <c r="D29" s="135"/>
      <c r="E29" s="135"/>
      <c r="F29" s="123"/>
      <c r="G29" s="22"/>
      <c r="H29" s="220">
        <v>5791.56</v>
      </c>
      <c r="I29" s="135"/>
      <c r="J29" s="135"/>
      <c r="K29" s="20"/>
      <c r="L29" s="20"/>
      <c r="M29" s="20"/>
      <c r="N29" s="20"/>
      <c r="O29" s="19"/>
      <c r="P29" s="19"/>
    </row>
    <row r="30" spans="1:16" x14ac:dyDescent="0.25">
      <c r="A30" s="13">
        <v>6550</v>
      </c>
      <c r="B30" s="13" t="s">
        <v>40</v>
      </c>
      <c r="C30" s="170"/>
      <c r="D30" s="135">
        <v>77655.44</v>
      </c>
      <c r="E30" s="135">
        <v>22258</v>
      </c>
      <c r="F30" s="123">
        <v>70143</v>
      </c>
      <c r="G30" s="22">
        <v>70000</v>
      </c>
      <c r="H30" s="123">
        <v>899</v>
      </c>
      <c r="I30" s="135">
        <v>20000</v>
      </c>
      <c r="J30" s="135">
        <v>20000</v>
      </c>
      <c r="K30" s="20"/>
      <c r="L30" s="20"/>
      <c r="M30" s="20"/>
      <c r="N30" s="16"/>
      <c r="O30" s="19"/>
      <c r="P30" s="19"/>
    </row>
    <row r="31" spans="1:16" x14ac:dyDescent="0.25">
      <c r="A31" s="13">
        <v>6600</v>
      </c>
      <c r="B31" s="13" t="s">
        <v>24</v>
      </c>
      <c r="C31" s="170"/>
      <c r="D31" s="135"/>
      <c r="E31" s="135"/>
      <c r="F31" s="123">
        <v>991.9</v>
      </c>
      <c r="G31" s="22"/>
      <c r="H31" s="123"/>
      <c r="I31" s="135"/>
      <c r="J31" s="135"/>
      <c r="K31" s="20"/>
      <c r="L31" s="20"/>
      <c r="M31" s="20"/>
      <c r="N31" s="20"/>
      <c r="O31" s="19"/>
      <c r="P31" s="19"/>
    </row>
    <row r="32" spans="1:16" x14ac:dyDescent="0.25">
      <c r="A32" s="13">
        <v>6620</v>
      </c>
      <c r="B32" s="13" t="s">
        <v>25</v>
      </c>
      <c r="C32" s="170"/>
      <c r="D32" s="135"/>
      <c r="E32" s="135"/>
      <c r="F32" s="123">
        <v>5563</v>
      </c>
      <c r="G32" s="22"/>
      <c r="H32" s="123">
        <f>20398-20398</f>
        <v>0</v>
      </c>
      <c r="I32" s="135"/>
      <c r="J32" s="135"/>
      <c r="K32" s="20"/>
      <c r="L32" s="20"/>
      <c r="M32" s="20"/>
      <c r="N32" s="20"/>
      <c r="O32" s="19"/>
      <c r="P32" s="19"/>
    </row>
    <row r="33" spans="1:16" x14ac:dyDescent="0.25">
      <c r="A33" s="13">
        <v>6630</v>
      </c>
      <c r="B33" s="13" t="s">
        <v>47</v>
      </c>
      <c r="C33" s="170"/>
      <c r="D33" s="135"/>
      <c r="E33" s="135"/>
      <c r="F33" s="123"/>
      <c r="G33" s="22"/>
      <c r="H33" s="123"/>
      <c r="I33" s="135"/>
      <c r="J33" s="135"/>
      <c r="K33" s="20"/>
      <c r="L33" s="20"/>
      <c r="M33" s="20"/>
      <c r="N33" s="20"/>
      <c r="O33" s="19"/>
      <c r="P33" s="19"/>
    </row>
    <row r="34" spans="1:16" x14ac:dyDescent="0.25">
      <c r="A34" s="13">
        <v>6705</v>
      </c>
      <c r="B34" s="23" t="s">
        <v>28</v>
      </c>
      <c r="C34" s="172"/>
      <c r="D34" s="135">
        <v>47858</v>
      </c>
      <c r="E34" s="135">
        <f>65910-0.5</f>
        <v>65909.5</v>
      </c>
      <c r="F34" s="123">
        <v>66560.87</v>
      </c>
      <c r="G34" s="22">
        <v>65000</v>
      </c>
      <c r="H34" s="123">
        <v>91868.55</v>
      </c>
      <c r="I34" s="135">
        <v>65000</v>
      </c>
      <c r="J34" s="135">
        <v>85000</v>
      </c>
      <c r="K34" s="20"/>
      <c r="L34" s="20"/>
      <c r="M34" s="20"/>
      <c r="N34" s="20"/>
      <c r="O34" s="19"/>
      <c r="P34" s="19"/>
    </row>
    <row r="35" spans="1:16" x14ac:dyDescent="0.25">
      <c r="A35" s="13">
        <v>6800</v>
      </c>
      <c r="B35" s="13" t="s">
        <v>43</v>
      </c>
      <c r="C35" s="170"/>
      <c r="D35" s="135">
        <v>860</v>
      </c>
      <c r="E35" s="135">
        <f>2594-0.5</f>
        <v>2593.5</v>
      </c>
      <c r="F35" s="123">
        <v>3454.38</v>
      </c>
      <c r="G35" s="22">
        <v>3000</v>
      </c>
      <c r="H35" s="123">
        <v>19</v>
      </c>
      <c r="I35" s="135">
        <v>3000</v>
      </c>
      <c r="J35" s="135"/>
      <c r="K35" s="20"/>
      <c r="L35" s="20"/>
      <c r="M35" s="20"/>
      <c r="N35" s="20"/>
      <c r="O35" s="21"/>
      <c r="P35" s="19"/>
    </row>
    <row r="36" spans="1:16" x14ac:dyDescent="0.25">
      <c r="A36" s="13">
        <v>6840</v>
      </c>
      <c r="B36" s="13" t="s">
        <v>26</v>
      </c>
      <c r="C36" s="170"/>
      <c r="D36" s="135"/>
      <c r="E36" s="135"/>
      <c r="F36" s="123"/>
      <c r="G36" s="22"/>
      <c r="H36" s="123"/>
      <c r="I36" s="135"/>
      <c r="J36" s="135"/>
      <c r="K36" s="20"/>
      <c r="L36" s="20"/>
      <c r="M36" s="20"/>
      <c r="N36" s="20"/>
      <c r="O36" s="19"/>
      <c r="P36" s="19"/>
    </row>
    <row r="37" spans="1:16" x14ac:dyDescent="0.25">
      <c r="A37" s="13">
        <v>6860</v>
      </c>
      <c r="B37" s="13" t="s">
        <v>27</v>
      </c>
      <c r="C37" s="170"/>
      <c r="D37" s="135">
        <v>2983.5</v>
      </c>
      <c r="E37" s="135">
        <f>2932-0.5</f>
        <v>2931.5</v>
      </c>
      <c r="F37" s="123">
        <v>2166</v>
      </c>
      <c r="G37" s="22">
        <v>3000</v>
      </c>
      <c r="H37" s="123">
        <v>537.09</v>
      </c>
      <c r="I37" s="135">
        <v>2000</v>
      </c>
      <c r="J37" s="135">
        <v>1000</v>
      </c>
      <c r="K37" s="20"/>
      <c r="L37" s="20"/>
      <c r="M37" s="20"/>
      <c r="N37" s="20"/>
      <c r="O37" s="19"/>
      <c r="P37" s="19"/>
    </row>
    <row r="38" spans="1:16" x14ac:dyDescent="0.25">
      <c r="A38" s="13">
        <v>6900</v>
      </c>
      <c r="B38" s="23" t="s">
        <v>44</v>
      </c>
      <c r="C38" s="172"/>
      <c r="D38" s="135"/>
      <c r="E38" s="135"/>
      <c r="F38" s="123">
        <v>1000</v>
      </c>
      <c r="G38" s="22"/>
      <c r="H38" s="123">
        <v>1059.81</v>
      </c>
      <c r="I38" s="135"/>
      <c r="J38" s="135"/>
      <c r="K38" s="20"/>
      <c r="L38" s="20"/>
      <c r="M38" s="20"/>
      <c r="N38" s="20"/>
      <c r="O38" s="19"/>
      <c r="P38" s="19"/>
    </row>
    <row r="39" spans="1:16" x14ac:dyDescent="0.25">
      <c r="A39" s="13">
        <v>6940</v>
      </c>
      <c r="B39" s="13" t="s">
        <v>29</v>
      </c>
      <c r="C39" s="170"/>
      <c r="D39" s="135"/>
      <c r="E39" s="135">
        <v>1277</v>
      </c>
      <c r="F39" s="123">
        <v>1625.75</v>
      </c>
      <c r="G39" s="22">
        <v>1000</v>
      </c>
      <c r="H39" s="123">
        <v>2047.45</v>
      </c>
      <c r="I39" s="135">
        <v>1000</v>
      </c>
      <c r="J39" s="135">
        <v>2000</v>
      </c>
      <c r="K39" s="20"/>
      <c r="L39" s="20"/>
      <c r="M39" s="20"/>
      <c r="N39" s="20"/>
      <c r="O39" s="19"/>
      <c r="P39" s="19"/>
    </row>
    <row r="40" spans="1:16" x14ac:dyDescent="0.25">
      <c r="A40" s="13">
        <v>7000</v>
      </c>
      <c r="B40" s="13" t="s">
        <v>48</v>
      </c>
      <c r="C40" s="170"/>
      <c r="D40" s="135"/>
      <c r="E40" s="135"/>
      <c r="F40" s="123"/>
      <c r="G40" s="22"/>
      <c r="H40" s="123">
        <v>1084.0899999999999</v>
      </c>
      <c r="I40" s="135"/>
      <c r="J40" s="135"/>
      <c r="K40" s="20"/>
      <c r="L40" s="20"/>
      <c r="M40" s="20"/>
      <c r="N40" s="20"/>
      <c r="O40" s="19"/>
      <c r="P40" s="19"/>
    </row>
    <row r="41" spans="1:16" x14ac:dyDescent="0.25">
      <c r="A41" s="13">
        <v>7140</v>
      </c>
      <c r="B41" s="13" t="s">
        <v>45</v>
      </c>
      <c r="C41" s="170"/>
      <c r="D41" s="135"/>
      <c r="E41" s="135"/>
      <c r="F41" s="123">
        <v>2160</v>
      </c>
      <c r="G41" s="22"/>
      <c r="H41" s="123"/>
      <c r="I41" s="135"/>
      <c r="J41" s="135"/>
      <c r="K41" s="20"/>
      <c r="L41" s="20"/>
      <c r="M41" s="20"/>
      <c r="N41" s="20"/>
      <c r="O41" s="19"/>
      <c r="P41" s="19"/>
    </row>
    <row r="42" spans="1:16" x14ac:dyDescent="0.25">
      <c r="A42" s="13">
        <v>7320</v>
      </c>
      <c r="B42" s="23" t="s">
        <v>30</v>
      </c>
      <c r="C42" s="172"/>
      <c r="D42" s="135"/>
      <c r="E42" s="135">
        <v>1024</v>
      </c>
      <c r="F42" s="123"/>
      <c r="G42" s="22">
        <v>1000</v>
      </c>
      <c r="H42" s="220">
        <v>16277.5</v>
      </c>
      <c r="I42" s="135">
        <v>1000</v>
      </c>
      <c r="J42" s="135">
        <v>2000</v>
      </c>
      <c r="K42" s="20"/>
      <c r="L42" s="20"/>
      <c r="M42" s="20"/>
      <c r="N42" s="20"/>
      <c r="O42" s="19"/>
      <c r="P42" s="19"/>
    </row>
    <row r="43" spans="1:16" x14ac:dyDescent="0.25">
      <c r="A43" s="13">
        <v>7400</v>
      </c>
      <c r="B43" s="13" t="s">
        <v>31</v>
      </c>
      <c r="C43" s="170"/>
      <c r="D43" s="135">
        <v>1000</v>
      </c>
      <c r="E43" s="135">
        <v>1000</v>
      </c>
      <c r="F43" s="123">
        <v>1000</v>
      </c>
      <c r="G43" s="22">
        <v>1000</v>
      </c>
      <c r="H43" s="123">
        <v>4000</v>
      </c>
      <c r="I43" s="135">
        <v>1000</v>
      </c>
      <c r="J43" s="135">
        <v>1000</v>
      </c>
      <c r="K43" s="20"/>
      <c r="L43" s="20"/>
      <c r="M43" s="20"/>
      <c r="N43" s="20"/>
      <c r="O43" s="19"/>
      <c r="P43" s="19"/>
    </row>
    <row r="44" spans="1:16" x14ac:dyDescent="0.25">
      <c r="A44" s="13">
        <v>7420</v>
      </c>
      <c r="B44" s="13" t="s">
        <v>12</v>
      </c>
      <c r="C44" s="170"/>
      <c r="D44" s="135">
        <v>5000</v>
      </c>
      <c r="E44" s="135">
        <v>2910</v>
      </c>
      <c r="F44" s="123">
        <v>4389.3999999999996</v>
      </c>
      <c r="G44" s="22">
        <v>3000</v>
      </c>
      <c r="H44" s="123">
        <v>5014</v>
      </c>
      <c r="I44" s="135">
        <v>3000</v>
      </c>
      <c r="J44" s="135">
        <v>4500</v>
      </c>
      <c r="K44" s="20"/>
      <c r="L44" s="20"/>
      <c r="M44" s="20"/>
      <c r="N44" s="20"/>
      <c r="O44" s="19"/>
      <c r="P44" s="19"/>
    </row>
    <row r="45" spans="1:16" x14ac:dyDescent="0.25">
      <c r="A45" s="13">
        <v>7500</v>
      </c>
      <c r="B45" s="13" t="s">
        <v>21</v>
      </c>
      <c r="C45" s="170"/>
      <c r="D45" s="135">
        <v>71372</v>
      </c>
      <c r="E45" s="135">
        <f>72517-6345-0.4</f>
        <v>66171.600000000006</v>
      </c>
      <c r="F45" s="123">
        <f>54480+6345</f>
        <v>60825</v>
      </c>
      <c r="G45" s="22">
        <v>60000</v>
      </c>
      <c r="H45" s="123">
        <f>-51335+29816+29816+16986+16986</f>
        <v>42269</v>
      </c>
      <c r="I45" s="135">
        <v>60000</v>
      </c>
      <c r="J45" s="135">
        <v>45000</v>
      </c>
      <c r="K45" s="20"/>
      <c r="L45" s="20"/>
      <c r="M45" s="20"/>
      <c r="N45" s="20"/>
      <c r="O45" s="19"/>
      <c r="P45" s="19"/>
    </row>
    <row r="46" spans="1:16" s="144" customFormat="1" x14ac:dyDescent="0.25">
      <c r="A46" s="13">
        <v>7745</v>
      </c>
      <c r="B46" s="13" t="s">
        <v>92</v>
      </c>
      <c r="C46" s="170"/>
      <c r="D46" s="135"/>
      <c r="E46" s="135"/>
      <c r="F46" s="123"/>
      <c r="G46" s="135">
        <v>5000</v>
      </c>
      <c r="H46" s="123">
        <v>0.4</v>
      </c>
      <c r="I46" s="135">
        <v>5000</v>
      </c>
      <c r="J46" s="135">
        <v>10000</v>
      </c>
      <c r="K46" s="20"/>
      <c r="L46" s="20"/>
      <c r="M46" s="20"/>
      <c r="N46" s="20"/>
      <c r="O46" s="19"/>
      <c r="P46" s="19"/>
    </row>
    <row r="47" spans="1:16" x14ac:dyDescent="0.25">
      <c r="A47" s="13">
        <v>7750</v>
      </c>
      <c r="B47" s="13" t="s">
        <v>32</v>
      </c>
      <c r="C47" s="170"/>
      <c r="D47" s="135"/>
      <c r="E47" s="135"/>
      <c r="F47" s="123">
        <v>5320.6</v>
      </c>
      <c r="G47" s="22"/>
      <c r="H47" s="123">
        <v>0</v>
      </c>
      <c r="I47" s="135"/>
      <c r="J47" s="135"/>
      <c r="K47" s="20"/>
      <c r="L47" s="20"/>
      <c r="M47" s="20"/>
      <c r="N47" s="20"/>
      <c r="O47" s="19"/>
      <c r="P47" s="19"/>
    </row>
    <row r="48" spans="1:16" x14ac:dyDescent="0.25">
      <c r="A48" s="13">
        <v>7755</v>
      </c>
      <c r="B48" s="13" t="s">
        <v>33</v>
      </c>
      <c r="C48" s="170"/>
      <c r="D48" s="135">
        <v>10000</v>
      </c>
      <c r="E48" s="135"/>
      <c r="F48" s="123"/>
      <c r="G48" s="22"/>
      <c r="H48" s="123"/>
      <c r="I48" s="135"/>
      <c r="J48" s="135"/>
      <c r="K48" s="20"/>
      <c r="L48" s="20"/>
      <c r="M48" s="20"/>
      <c r="N48" s="20"/>
      <c r="O48" s="19"/>
      <c r="P48" s="19"/>
    </row>
    <row r="49" spans="1:16" x14ac:dyDescent="0.25">
      <c r="A49" s="13">
        <v>7770</v>
      </c>
      <c r="B49" s="13" t="s">
        <v>88</v>
      </c>
      <c r="C49" s="170"/>
      <c r="D49" s="135">
        <f>1871.93+6</f>
        <v>1877.93</v>
      </c>
      <c r="E49" s="135">
        <v>1812</v>
      </c>
      <c r="F49" s="123">
        <v>2323</v>
      </c>
      <c r="G49" s="22">
        <v>2000</v>
      </c>
      <c r="H49" s="123">
        <v>2645</v>
      </c>
      <c r="I49" s="135">
        <v>2000</v>
      </c>
      <c r="J49" s="135">
        <v>2500</v>
      </c>
      <c r="K49" s="20"/>
      <c r="L49" s="20"/>
      <c r="M49" s="20"/>
      <c r="N49" s="20"/>
      <c r="O49" s="19"/>
      <c r="P49" s="19"/>
    </row>
    <row r="50" spans="1:16" x14ac:dyDescent="0.25">
      <c r="A50" s="13">
        <v>7790</v>
      </c>
      <c r="B50" s="13" t="s">
        <v>34</v>
      </c>
      <c r="C50" s="170"/>
      <c r="D50" s="135">
        <v>6366.38</v>
      </c>
      <c r="E50" s="135">
        <v>11165</v>
      </c>
      <c r="F50" s="123">
        <v>11249.16</v>
      </c>
      <c r="G50" s="22">
        <v>10000</v>
      </c>
      <c r="H50" s="123">
        <v>-2166</v>
      </c>
      <c r="I50" s="135">
        <v>10000</v>
      </c>
      <c r="J50" s="135">
        <v>1000</v>
      </c>
      <c r="K50" s="20"/>
      <c r="L50" s="20"/>
      <c r="M50" s="20"/>
      <c r="N50" s="20"/>
      <c r="O50" s="19"/>
      <c r="P50" s="19"/>
    </row>
    <row r="51" spans="1:16" x14ac:dyDescent="0.25">
      <c r="A51" s="13">
        <v>6010</v>
      </c>
      <c r="B51" s="23" t="s">
        <v>122</v>
      </c>
      <c r="C51" s="172"/>
      <c r="D51" s="135"/>
      <c r="E51" s="135"/>
      <c r="F51" s="123"/>
      <c r="G51" s="22"/>
      <c r="H51" s="123"/>
      <c r="I51" s="135"/>
      <c r="J51" s="135"/>
      <c r="K51" s="20"/>
      <c r="L51" s="20"/>
      <c r="M51" s="20"/>
      <c r="N51" s="20"/>
      <c r="O51" s="19"/>
      <c r="P51" s="19"/>
    </row>
    <row r="52" spans="1:16" x14ac:dyDescent="0.25">
      <c r="A52" s="13"/>
      <c r="B52" s="26" t="s">
        <v>36</v>
      </c>
      <c r="C52" s="169"/>
      <c r="D52" s="141">
        <f>SUM(D20:D51)</f>
        <v>307807.89999999997</v>
      </c>
      <c r="E52" s="141">
        <f t="shared" ref="E52:J52" si="1">SUM(E19:E51)</f>
        <v>261214.1</v>
      </c>
      <c r="F52" s="141">
        <f t="shared" si="1"/>
        <v>342856.20999999996</v>
      </c>
      <c r="G52" s="32">
        <f>SUM(G19:G51)</f>
        <v>310000</v>
      </c>
      <c r="H52" s="141">
        <f t="shared" si="1"/>
        <v>284273.25</v>
      </c>
      <c r="I52" s="141">
        <f t="shared" si="1"/>
        <v>272000</v>
      </c>
      <c r="J52" s="141">
        <f t="shared" si="1"/>
        <v>274000</v>
      </c>
      <c r="K52" s="20"/>
      <c r="L52" s="20"/>
      <c r="M52" s="20"/>
      <c r="N52" s="20"/>
      <c r="O52" s="19"/>
      <c r="P52" s="19"/>
    </row>
    <row r="53" spans="1:16" x14ac:dyDescent="0.25">
      <c r="A53" s="13"/>
      <c r="B53" s="33"/>
      <c r="C53" s="175"/>
      <c r="D53" s="139"/>
      <c r="E53" s="139"/>
      <c r="F53" s="139"/>
      <c r="G53" s="29"/>
      <c r="H53" s="139"/>
      <c r="I53" s="139"/>
      <c r="J53" s="139"/>
      <c r="K53" s="20"/>
      <c r="L53" s="20"/>
      <c r="M53" s="20"/>
      <c r="N53" s="20"/>
      <c r="O53" s="19"/>
      <c r="P53" s="19"/>
    </row>
    <row r="54" spans="1:16" x14ac:dyDescent="0.25">
      <c r="A54" s="13"/>
      <c r="B54" s="26" t="s">
        <v>38</v>
      </c>
      <c r="C54" s="169"/>
      <c r="D54" s="141">
        <f>(D18-D52)</f>
        <v>27774.040000000037</v>
      </c>
      <c r="E54" s="141">
        <f t="shared" ref="E54:J54" si="2">E18-E52</f>
        <v>372629.9</v>
      </c>
      <c r="F54" s="141">
        <f t="shared" si="2"/>
        <v>137065.90000000002</v>
      </c>
      <c r="G54" s="32">
        <f t="shared" si="2"/>
        <v>126000</v>
      </c>
      <c r="H54" s="141">
        <f t="shared" si="2"/>
        <v>271895.69999999995</v>
      </c>
      <c r="I54" s="141">
        <f t="shared" si="2"/>
        <v>163000</v>
      </c>
      <c r="J54" s="141">
        <f t="shared" si="2"/>
        <v>174000</v>
      </c>
      <c r="K54" s="20"/>
      <c r="L54" s="20"/>
      <c r="M54" s="20"/>
      <c r="N54" s="20"/>
      <c r="O54" s="19"/>
      <c r="P54" s="19"/>
    </row>
    <row r="55" spans="1:16" x14ac:dyDescent="0.25">
      <c r="A55" s="23"/>
      <c r="B55" s="23"/>
      <c r="C55" s="172"/>
      <c r="D55" s="136"/>
      <c r="E55" s="136"/>
      <c r="F55" s="136"/>
      <c r="G55" s="23"/>
      <c r="H55" s="136"/>
      <c r="I55" s="136"/>
      <c r="J55" s="136"/>
      <c r="K55" s="15"/>
      <c r="L55" s="15"/>
      <c r="M55" s="20"/>
      <c r="N55" s="20"/>
      <c r="O55" s="19"/>
      <c r="P55" s="19"/>
    </row>
    <row r="56" spans="1:16" x14ac:dyDescent="0.25">
      <c r="A56" s="23"/>
      <c r="B56" s="24" t="s">
        <v>49</v>
      </c>
      <c r="C56" s="176"/>
      <c r="D56" s="137"/>
      <c r="E56" s="137"/>
      <c r="F56" s="137"/>
      <c r="G56" s="25"/>
      <c r="H56" s="137"/>
      <c r="I56" s="137"/>
      <c r="J56" s="137"/>
      <c r="K56" s="15"/>
      <c r="L56" s="15"/>
    </row>
    <row r="57" spans="1:16" x14ac:dyDescent="0.25">
      <c r="A57" s="23"/>
      <c r="B57" s="23" t="s">
        <v>50</v>
      </c>
      <c r="C57" s="172"/>
      <c r="D57" s="137">
        <f>28574.06+95.08</f>
        <v>28669.140000000003</v>
      </c>
      <c r="E57" s="137">
        <v>40145</v>
      </c>
      <c r="F57" s="137">
        <v>25461.61</v>
      </c>
      <c r="G57" s="25">
        <v>35000</v>
      </c>
      <c r="H57" s="137">
        <v>14141.19</v>
      </c>
      <c r="I57" s="137">
        <v>25000</v>
      </c>
      <c r="J57" s="137">
        <v>15000</v>
      </c>
      <c r="K57" s="15"/>
      <c r="L57" s="15"/>
    </row>
    <row r="58" spans="1:16" x14ac:dyDescent="0.25">
      <c r="A58" s="23"/>
      <c r="B58" s="23" t="s">
        <v>52</v>
      </c>
      <c r="C58" s="172"/>
      <c r="D58" s="137"/>
      <c r="E58" s="137"/>
      <c r="F58" s="137"/>
      <c r="G58" s="25"/>
      <c r="H58" s="137"/>
      <c r="I58" s="137"/>
      <c r="J58" s="137"/>
    </row>
    <row r="59" spans="1:16" x14ac:dyDescent="0.25">
      <c r="A59" s="23"/>
      <c r="B59" s="34" t="s">
        <v>53</v>
      </c>
      <c r="C59" s="177"/>
      <c r="D59" s="142">
        <f t="shared" ref="D59" si="3">D57-D58</f>
        <v>28669.140000000003</v>
      </c>
      <c r="E59" s="142">
        <f t="shared" ref="E59:H59" si="4">E57-E58</f>
        <v>40145</v>
      </c>
      <c r="F59" s="142">
        <f t="shared" si="4"/>
        <v>25461.61</v>
      </c>
      <c r="G59" s="35">
        <f>G57-G58</f>
        <v>35000</v>
      </c>
      <c r="H59" s="142">
        <f t="shared" si="4"/>
        <v>14141.19</v>
      </c>
      <c r="I59" s="142">
        <f t="shared" ref="I59:J59" si="5">I57-I58</f>
        <v>25000</v>
      </c>
      <c r="J59" s="142">
        <f t="shared" si="5"/>
        <v>15000</v>
      </c>
    </row>
    <row r="60" spans="1:16" x14ac:dyDescent="0.25">
      <c r="A60" s="23"/>
      <c r="B60" s="23"/>
      <c r="C60" s="172"/>
      <c r="D60" s="137"/>
      <c r="E60" s="137"/>
      <c r="F60" s="137"/>
      <c r="G60" s="25"/>
      <c r="H60" s="137"/>
      <c r="I60" s="137"/>
      <c r="J60" s="137"/>
    </row>
    <row r="61" spans="1:16" x14ac:dyDescent="0.25">
      <c r="A61" s="23"/>
      <c r="B61" s="36" t="s">
        <v>37</v>
      </c>
      <c r="C61" s="178"/>
      <c r="D61" s="143">
        <f t="shared" ref="D61" si="6">D54+D59</f>
        <v>56443.180000000037</v>
      </c>
      <c r="E61" s="143">
        <f t="shared" ref="E61:H61" si="7">E54+E59</f>
        <v>412774.9</v>
      </c>
      <c r="F61" s="143">
        <f t="shared" si="7"/>
        <v>162527.51</v>
      </c>
      <c r="G61" s="37">
        <f>G54+G59</f>
        <v>161000</v>
      </c>
      <c r="H61" s="143">
        <f t="shared" si="7"/>
        <v>286036.88999999996</v>
      </c>
      <c r="I61" s="143">
        <f t="shared" ref="I61:J61" si="8">I54+I59</f>
        <v>188000</v>
      </c>
      <c r="J61" s="143">
        <f t="shared" si="8"/>
        <v>189000</v>
      </c>
    </row>
    <row r="63" spans="1:16" x14ac:dyDescent="0.25">
      <c r="B63" s="115" t="s">
        <v>87</v>
      </c>
      <c r="C63" s="115"/>
    </row>
  </sheetData>
  <pageMargins left="0.7" right="0.7" top="0.75" bottom="0.75" header="0.3" footer="0.3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J29" sqref="J29"/>
    </sheetView>
  </sheetViews>
  <sheetFormatPr baseColWidth="10" defaultRowHeight="15" x14ac:dyDescent="0.25"/>
  <cols>
    <col min="1" max="1" width="6.7109375" customWidth="1"/>
    <col min="2" max="2" width="26.7109375" customWidth="1"/>
    <col min="3" max="3" width="8.42578125" style="144" customWidth="1"/>
    <col min="4" max="4" width="14.5703125" bestFit="1" customWidth="1"/>
    <col min="5" max="5" width="15.7109375" customWidth="1"/>
    <col min="6" max="6" width="15.7109375" bestFit="1" customWidth="1"/>
    <col min="7" max="7" width="13.28515625" bestFit="1" customWidth="1"/>
    <col min="8" max="8" width="15.7109375" style="144" customWidth="1"/>
    <col min="9" max="10" width="13.28515625" style="144" customWidth="1"/>
  </cols>
  <sheetData>
    <row r="1" spans="1:10" ht="23.25" x14ac:dyDescent="0.35">
      <c r="B1" s="1" t="s">
        <v>145</v>
      </c>
      <c r="C1" s="1"/>
      <c r="D1" s="2"/>
      <c r="E1" s="3"/>
      <c r="F1" s="3"/>
      <c r="G1" s="3"/>
      <c r="H1" s="3"/>
      <c r="I1" s="3"/>
      <c r="J1" s="3"/>
    </row>
    <row r="2" spans="1:10" ht="23.25" x14ac:dyDescent="0.35">
      <c r="B2" s="1"/>
      <c r="C2" s="1"/>
      <c r="D2" s="2"/>
      <c r="E2" s="3"/>
      <c r="F2" s="3"/>
      <c r="G2" s="3"/>
      <c r="H2" s="3"/>
      <c r="I2" s="3"/>
      <c r="J2" s="3"/>
    </row>
    <row r="3" spans="1:10" x14ac:dyDescent="0.25">
      <c r="A3" s="27" t="s">
        <v>0</v>
      </c>
      <c r="B3" s="26" t="s">
        <v>1</v>
      </c>
      <c r="C3" s="169" t="s">
        <v>77</v>
      </c>
      <c r="D3" s="27" t="s">
        <v>89</v>
      </c>
      <c r="E3" s="27" t="s">
        <v>112</v>
      </c>
      <c r="F3" s="27" t="s">
        <v>136</v>
      </c>
      <c r="G3" s="27" t="s">
        <v>108</v>
      </c>
      <c r="H3" s="27" t="s">
        <v>138</v>
      </c>
      <c r="I3" s="27" t="s">
        <v>128</v>
      </c>
      <c r="J3" s="27" t="s">
        <v>160</v>
      </c>
    </row>
    <row r="4" spans="1:10" x14ac:dyDescent="0.25">
      <c r="A4" s="13">
        <v>3110</v>
      </c>
      <c r="B4" s="13" t="s">
        <v>2</v>
      </c>
      <c r="C4" s="170"/>
      <c r="D4" s="138"/>
      <c r="E4" s="138"/>
      <c r="F4" s="138"/>
      <c r="G4" s="28"/>
      <c r="H4" s="138"/>
      <c r="I4" s="138"/>
      <c r="J4" s="138"/>
    </row>
    <row r="5" spans="1:10" x14ac:dyDescent="0.25">
      <c r="A5" s="13">
        <v>3115</v>
      </c>
      <c r="B5" s="13" t="s">
        <v>3</v>
      </c>
      <c r="C5" s="170"/>
      <c r="D5" s="138"/>
      <c r="E5" s="138"/>
      <c r="F5" s="138"/>
      <c r="G5" s="28"/>
      <c r="H5" s="138"/>
      <c r="I5" s="138"/>
      <c r="J5" s="138"/>
    </row>
    <row r="6" spans="1:10" x14ac:dyDescent="0.25">
      <c r="A6" s="13">
        <v>3400</v>
      </c>
      <c r="B6" s="13" t="s">
        <v>4</v>
      </c>
      <c r="C6" s="170"/>
      <c r="D6" s="138">
        <v>107000</v>
      </c>
      <c r="E6" s="138">
        <v>142651</v>
      </c>
      <c r="F6" s="138">
        <v>159850</v>
      </c>
      <c r="G6" s="28">
        <v>150000</v>
      </c>
      <c r="H6" s="138">
        <v>157688</v>
      </c>
      <c r="I6" s="138">
        <v>140000</v>
      </c>
      <c r="J6" s="138">
        <v>155000</v>
      </c>
    </row>
    <row r="7" spans="1:10" x14ac:dyDescent="0.25">
      <c r="A7" s="13">
        <v>3440</v>
      </c>
      <c r="B7" s="13" t="s">
        <v>55</v>
      </c>
      <c r="C7" s="170"/>
      <c r="D7" s="138"/>
      <c r="E7" s="138"/>
      <c r="F7" s="138"/>
      <c r="G7" s="28"/>
      <c r="H7" s="138"/>
      <c r="I7" s="138"/>
      <c r="J7" s="138"/>
    </row>
    <row r="8" spans="1:10" x14ac:dyDescent="0.25">
      <c r="A8" s="13">
        <v>3605</v>
      </c>
      <c r="B8" s="13" t="s">
        <v>5</v>
      </c>
      <c r="C8" s="170"/>
      <c r="D8" s="138"/>
      <c r="E8" s="138"/>
      <c r="F8" s="138"/>
      <c r="G8" s="28"/>
      <c r="H8" s="138"/>
      <c r="I8" s="138"/>
      <c r="J8" s="138"/>
    </row>
    <row r="9" spans="1:10" x14ac:dyDescent="0.25">
      <c r="A9" s="13">
        <v>3620</v>
      </c>
      <c r="B9" s="23" t="s">
        <v>91</v>
      </c>
      <c r="C9" s="172"/>
      <c r="D9" s="138"/>
      <c r="E9" s="138"/>
      <c r="F9" s="138"/>
      <c r="G9" s="28"/>
      <c r="H9" s="138"/>
      <c r="I9" s="138"/>
      <c r="J9" s="138"/>
    </row>
    <row r="10" spans="1:10" x14ac:dyDescent="0.25">
      <c r="A10" s="13">
        <v>3920</v>
      </c>
      <c r="B10" s="13" t="s">
        <v>6</v>
      </c>
      <c r="C10" s="170"/>
      <c r="D10" s="138"/>
      <c r="E10" s="138"/>
      <c r="F10" s="138"/>
      <c r="G10" s="28"/>
      <c r="H10" s="138"/>
      <c r="I10" s="138"/>
      <c r="J10" s="138"/>
    </row>
    <row r="11" spans="1:10" x14ac:dyDescent="0.25">
      <c r="A11" s="13">
        <v>3925</v>
      </c>
      <c r="B11" s="13" t="s">
        <v>7</v>
      </c>
      <c r="C11" s="170"/>
      <c r="D11" s="138"/>
      <c r="E11" s="138"/>
      <c r="F11" s="138"/>
      <c r="G11" s="28"/>
      <c r="H11" s="138"/>
      <c r="I11" s="138"/>
      <c r="J11" s="138"/>
    </row>
    <row r="12" spans="1:10" x14ac:dyDescent="0.25">
      <c r="A12" s="13">
        <v>3926</v>
      </c>
      <c r="B12" s="23" t="s">
        <v>13</v>
      </c>
      <c r="C12" s="172"/>
      <c r="D12" s="138"/>
      <c r="E12" s="138"/>
      <c r="F12" s="138"/>
      <c r="G12" s="28"/>
      <c r="H12" s="138"/>
      <c r="I12" s="138"/>
      <c r="J12" s="138"/>
    </row>
    <row r="13" spans="1:10" x14ac:dyDescent="0.25">
      <c r="A13" s="13">
        <v>3950</v>
      </c>
      <c r="B13" s="13" t="s">
        <v>9</v>
      </c>
      <c r="C13" s="170"/>
      <c r="D13" s="138"/>
      <c r="E13" s="138"/>
      <c r="F13" s="138"/>
      <c r="G13" s="28"/>
      <c r="H13" s="138"/>
      <c r="I13" s="138"/>
      <c r="J13" s="138"/>
    </row>
    <row r="14" spans="1:10" x14ac:dyDescent="0.25">
      <c r="A14" s="13">
        <v>3970</v>
      </c>
      <c r="B14" s="13" t="s">
        <v>10</v>
      </c>
      <c r="C14" s="170"/>
      <c r="D14" s="138"/>
      <c r="E14" s="138"/>
      <c r="F14" s="138"/>
      <c r="G14" s="28"/>
      <c r="H14" s="138"/>
      <c r="I14" s="138"/>
      <c r="J14" s="138"/>
    </row>
    <row r="15" spans="1:10" x14ac:dyDescent="0.25">
      <c r="A15" s="13">
        <v>3975</v>
      </c>
      <c r="B15" s="13" t="s">
        <v>11</v>
      </c>
      <c r="C15" s="170"/>
      <c r="D15" s="138"/>
      <c r="E15" s="138"/>
      <c r="F15" s="138"/>
      <c r="G15" s="28"/>
      <c r="H15" s="138"/>
      <c r="I15" s="138"/>
      <c r="J15" s="138"/>
    </row>
    <row r="16" spans="1:10" x14ac:dyDescent="0.25">
      <c r="A16" s="13">
        <v>3980</v>
      </c>
      <c r="B16" s="13" t="s">
        <v>12</v>
      </c>
      <c r="C16" s="170"/>
      <c r="D16" s="138"/>
      <c r="E16" s="138"/>
      <c r="F16" s="138"/>
      <c r="G16" s="28"/>
      <c r="H16" s="138"/>
      <c r="I16" s="138"/>
      <c r="J16" s="138"/>
    </row>
    <row r="17" spans="1:10" x14ac:dyDescent="0.25">
      <c r="A17" s="13">
        <v>3990</v>
      </c>
      <c r="B17" s="23" t="s">
        <v>8</v>
      </c>
      <c r="C17" s="172"/>
      <c r="D17" s="138"/>
      <c r="E17" s="138">
        <v>15000</v>
      </c>
      <c r="F17" s="138">
        <v>31000</v>
      </c>
      <c r="G17" s="28">
        <v>31000</v>
      </c>
      <c r="H17" s="219"/>
      <c r="I17" s="138">
        <v>31000</v>
      </c>
      <c r="J17" s="138"/>
    </row>
    <row r="18" spans="1:10" x14ac:dyDescent="0.25">
      <c r="A18" s="13"/>
      <c r="B18" s="30" t="s">
        <v>14</v>
      </c>
      <c r="C18" s="173"/>
      <c r="D18" s="140">
        <f t="shared" ref="D18:J18" si="0">SUM(D4:D17)</f>
        <v>107000</v>
      </c>
      <c r="E18" s="140">
        <f t="shared" si="0"/>
        <v>157651</v>
      </c>
      <c r="F18" s="140">
        <f t="shared" si="0"/>
        <v>190850</v>
      </c>
      <c r="G18" s="31">
        <f>SUM(G4:G17)</f>
        <v>181000</v>
      </c>
      <c r="H18" s="140">
        <f>SUM(H4:H17)</f>
        <v>157688</v>
      </c>
      <c r="I18" s="140">
        <f t="shared" si="0"/>
        <v>171000</v>
      </c>
      <c r="J18" s="140">
        <f t="shared" si="0"/>
        <v>155000</v>
      </c>
    </row>
    <row r="19" spans="1:10" x14ac:dyDescent="0.25">
      <c r="A19" s="13"/>
      <c r="B19" s="12" t="s">
        <v>15</v>
      </c>
      <c r="C19" s="174"/>
      <c r="D19" s="135"/>
      <c r="E19" s="135"/>
      <c r="F19" s="135"/>
      <c r="G19" s="22"/>
      <c r="H19" s="135"/>
      <c r="I19" s="135"/>
      <c r="J19" s="135"/>
    </row>
    <row r="20" spans="1:10" x14ac:dyDescent="0.25">
      <c r="A20" s="13">
        <v>4210</v>
      </c>
      <c r="B20" s="13" t="s">
        <v>16</v>
      </c>
      <c r="C20" s="170"/>
      <c r="D20" s="135"/>
      <c r="E20" s="135"/>
      <c r="F20" s="135"/>
      <c r="G20" s="22"/>
      <c r="H20" s="135"/>
      <c r="I20" s="135"/>
      <c r="J20" s="135"/>
    </row>
    <row r="21" spans="1:10" x14ac:dyDescent="0.25">
      <c r="A21" s="13">
        <v>4220</v>
      </c>
      <c r="B21" s="13" t="s">
        <v>17</v>
      </c>
      <c r="C21" s="170"/>
      <c r="D21" s="135"/>
      <c r="E21" s="135"/>
      <c r="F21" s="135"/>
      <c r="G21" s="22"/>
      <c r="H21" s="135"/>
      <c r="I21" s="135"/>
      <c r="J21" s="135"/>
    </row>
    <row r="22" spans="1:10" x14ac:dyDescent="0.25">
      <c r="A22" s="13">
        <v>4225</v>
      </c>
      <c r="B22" s="13" t="s">
        <v>19</v>
      </c>
      <c r="C22" s="170"/>
      <c r="D22" s="135"/>
      <c r="E22" s="135"/>
      <c r="F22" s="135"/>
      <c r="G22" s="22"/>
      <c r="H22" s="135"/>
      <c r="I22" s="135"/>
      <c r="J22" s="135"/>
    </row>
    <row r="23" spans="1:10" x14ac:dyDescent="0.25">
      <c r="A23" s="13">
        <v>4300</v>
      </c>
      <c r="B23" s="13" t="s">
        <v>18</v>
      </c>
      <c r="C23" s="170"/>
      <c r="D23" s="135"/>
      <c r="E23" s="135"/>
      <c r="F23" s="135"/>
      <c r="G23" s="22"/>
      <c r="H23" s="135"/>
      <c r="I23" s="135"/>
      <c r="J23" s="135"/>
    </row>
    <row r="24" spans="1:10" x14ac:dyDescent="0.25">
      <c r="A24" s="13">
        <v>5000</v>
      </c>
      <c r="B24" s="13" t="s">
        <v>20</v>
      </c>
      <c r="C24" s="170"/>
      <c r="D24" s="135"/>
      <c r="E24" s="135"/>
      <c r="F24" s="135"/>
      <c r="G24" s="22"/>
      <c r="H24" s="135"/>
      <c r="I24" s="135"/>
      <c r="J24" s="135"/>
    </row>
    <row r="25" spans="1:10" x14ac:dyDescent="0.25">
      <c r="A25" s="13">
        <v>6315</v>
      </c>
      <c r="B25" s="13" t="s">
        <v>22</v>
      </c>
      <c r="C25" s="170"/>
      <c r="D25" s="135"/>
      <c r="E25" s="135">
        <v>1372</v>
      </c>
      <c r="F25" s="135"/>
      <c r="G25" s="22">
        <v>2000</v>
      </c>
      <c r="H25" s="135">
        <v>7800</v>
      </c>
      <c r="I25" s="135">
        <v>2000</v>
      </c>
      <c r="J25" s="135">
        <v>2000</v>
      </c>
    </row>
    <row r="26" spans="1:10" x14ac:dyDescent="0.25">
      <c r="A26" s="13">
        <v>6316</v>
      </c>
      <c r="B26" s="13" t="s">
        <v>39</v>
      </c>
      <c r="C26" s="170"/>
      <c r="D26" s="135"/>
      <c r="E26" s="135"/>
      <c r="F26" s="135"/>
      <c r="G26" s="22"/>
      <c r="H26" s="135"/>
      <c r="I26" s="135"/>
      <c r="J26" s="135"/>
    </row>
    <row r="27" spans="1:10" x14ac:dyDescent="0.25">
      <c r="A27" s="13">
        <v>6320</v>
      </c>
      <c r="B27" s="13" t="s">
        <v>23</v>
      </c>
      <c r="C27" s="170"/>
      <c r="D27" s="135">
        <v>596</v>
      </c>
      <c r="E27" s="135">
        <v>9925</v>
      </c>
      <c r="F27" s="123">
        <f>3542+8286</f>
        <v>11828</v>
      </c>
      <c r="G27" s="22">
        <v>10000</v>
      </c>
      <c r="H27" s="123">
        <v>445</v>
      </c>
      <c r="I27" s="135">
        <v>12000</v>
      </c>
      <c r="J27" s="135">
        <v>6000</v>
      </c>
    </row>
    <row r="28" spans="1:10" x14ac:dyDescent="0.25">
      <c r="A28" s="13">
        <v>6340</v>
      </c>
      <c r="B28" s="13" t="s">
        <v>41</v>
      </c>
      <c r="C28" s="170"/>
      <c r="D28" s="135"/>
      <c r="E28" s="135"/>
      <c r="F28" s="123"/>
      <c r="G28" s="22"/>
      <c r="H28" s="123"/>
      <c r="I28" s="135"/>
      <c r="J28" s="135"/>
    </row>
    <row r="29" spans="1:10" x14ac:dyDescent="0.25">
      <c r="A29" s="13">
        <v>6320</v>
      </c>
      <c r="B29" s="13" t="s">
        <v>42</v>
      </c>
      <c r="C29" s="170"/>
      <c r="D29" s="135"/>
      <c r="E29" s="135"/>
      <c r="F29" s="123"/>
      <c r="G29" s="22"/>
      <c r="H29" s="220">
        <v>14486.72</v>
      </c>
      <c r="I29" s="135"/>
      <c r="J29" s="135"/>
    </row>
    <row r="30" spans="1:10" x14ac:dyDescent="0.25">
      <c r="A30" s="13">
        <v>6550</v>
      </c>
      <c r="B30" s="13" t="s">
        <v>40</v>
      </c>
      <c r="C30" s="170"/>
      <c r="D30" s="135"/>
      <c r="E30" s="135">
        <v>19345</v>
      </c>
      <c r="F30" s="123">
        <v>3000</v>
      </c>
      <c r="G30" s="22">
        <v>10000</v>
      </c>
      <c r="H30" s="123">
        <v>7265.43</v>
      </c>
      <c r="I30" s="135">
        <v>10000</v>
      </c>
      <c r="J30" s="135">
        <v>50000</v>
      </c>
    </row>
    <row r="31" spans="1:10" x14ac:dyDescent="0.25">
      <c r="A31" s="13">
        <v>6600</v>
      </c>
      <c r="B31" s="13" t="s">
        <v>24</v>
      </c>
      <c r="C31" s="170"/>
      <c r="D31" s="135"/>
      <c r="E31" s="135">
        <v>2113</v>
      </c>
      <c r="F31" s="123"/>
      <c r="G31" s="22">
        <v>2000</v>
      </c>
      <c r="H31" s="123">
        <v>0</v>
      </c>
      <c r="I31" s="135">
        <v>2000</v>
      </c>
      <c r="J31" s="135">
        <v>2000</v>
      </c>
    </row>
    <row r="32" spans="1:10" x14ac:dyDescent="0.25">
      <c r="A32" s="13">
        <v>6620</v>
      </c>
      <c r="B32" s="13" t="s">
        <v>25</v>
      </c>
      <c r="C32" s="170"/>
      <c r="D32" s="135">
        <v>2788</v>
      </c>
      <c r="E32" s="135">
        <v>1401</v>
      </c>
      <c r="F32" s="123">
        <v>30625</v>
      </c>
      <c r="G32" s="22">
        <v>5000</v>
      </c>
      <c r="H32" s="123">
        <f>16264+10199+10199</f>
        <v>36662</v>
      </c>
      <c r="I32" s="135">
        <v>2000</v>
      </c>
      <c r="J32" s="135">
        <v>25000</v>
      </c>
    </row>
    <row r="33" spans="1:10" x14ac:dyDescent="0.25">
      <c r="A33" s="13">
        <v>6630</v>
      </c>
      <c r="B33" s="13" t="s">
        <v>47</v>
      </c>
      <c r="C33" s="170"/>
      <c r="D33" s="135">
        <v>43807</v>
      </c>
      <c r="E33" s="135">
        <v>21695</v>
      </c>
      <c r="F33" s="123">
        <v>50812</v>
      </c>
      <c r="G33" s="22">
        <v>50000</v>
      </c>
      <c r="H33" s="123">
        <v>21863</v>
      </c>
      <c r="I33" s="135">
        <v>40000</v>
      </c>
      <c r="J33" s="135">
        <v>20000</v>
      </c>
    </row>
    <row r="34" spans="1:10" x14ac:dyDescent="0.25">
      <c r="A34" s="13">
        <v>6705</v>
      </c>
      <c r="B34" s="23" t="s">
        <v>28</v>
      </c>
      <c r="C34" s="172"/>
      <c r="D34" s="135"/>
      <c r="E34" s="135"/>
      <c r="F34" s="123"/>
      <c r="G34" s="22"/>
      <c r="H34" s="123"/>
      <c r="I34" s="135"/>
      <c r="J34" s="135"/>
    </row>
    <row r="35" spans="1:10" x14ac:dyDescent="0.25">
      <c r="A35" s="13">
        <v>6800</v>
      </c>
      <c r="B35" s="13" t="s">
        <v>43</v>
      </c>
      <c r="C35" s="170"/>
      <c r="D35" s="135"/>
      <c r="E35" s="135"/>
      <c r="F35" s="123"/>
      <c r="G35" s="22"/>
      <c r="H35" s="123"/>
      <c r="I35" s="135"/>
      <c r="J35" s="135"/>
    </row>
    <row r="36" spans="1:10" x14ac:dyDescent="0.25">
      <c r="A36" s="13">
        <v>6840</v>
      </c>
      <c r="B36" s="13" t="s">
        <v>26</v>
      </c>
      <c r="C36" s="170"/>
      <c r="D36" s="135"/>
      <c r="E36" s="135"/>
      <c r="F36" s="123"/>
      <c r="G36" s="22"/>
      <c r="H36" s="123"/>
      <c r="I36" s="135"/>
      <c r="J36" s="135"/>
    </row>
    <row r="37" spans="1:10" x14ac:dyDescent="0.25">
      <c r="A37" s="13">
        <v>6860</v>
      </c>
      <c r="B37" s="13" t="s">
        <v>27</v>
      </c>
      <c r="C37" s="170"/>
      <c r="D37" s="135"/>
      <c r="E37" s="135"/>
      <c r="F37" s="123"/>
      <c r="G37" s="22"/>
      <c r="H37" s="123"/>
      <c r="I37" s="135"/>
      <c r="J37" s="135"/>
    </row>
    <row r="38" spans="1:10" x14ac:dyDescent="0.25">
      <c r="A38" s="13">
        <v>6900</v>
      </c>
      <c r="B38" s="23" t="s">
        <v>44</v>
      </c>
      <c r="C38" s="172"/>
      <c r="D38" s="135"/>
      <c r="E38" s="135"/>
      <c r="F38" s="123"/>
      <c r="G38" s="22"/>
      <c r="H38" s="123"/>
      <c r="I38" s="135"/>
      <c r="J38" s="135"/>
    </row>
    <row r="39" spans="1:10" x14ac:dyDescent="0.25">
      <c r="A39" s="13">
        <v>6940</v>
      </c>
      <c r="B39" s="13" t="s">
        <v>29</v>
      </c>
      <c r="C39" s="170"/>
      <c r="D39" s="135"/>
      <c r="E39" s="135"/>
      <c r="F39" s="123"/>
      <c r="G39" s="22"/>
      <c r="H39" s="123"/>
      <c r="I39" s="135"/>
      <c r="J39" s="135"/>
    </row>
    <row r="40" spans="1:10" x14ac:dyDescent="0.25">
      <c r="A40" s="13">
        <v>7000</v>
      </c>
      <c r="B40" s="13" t="s">
        <v>48</v>
      </c>
      <c r="C40" s="170"/>
      <c r="D40" s="135">
        <v>20721.95</v>
      </c>
      <c r="E40" s="135">
        <f>1969+18919</f>
        <v>20888</v>
      </c>
      <c r="F40" s="123">
        <v>15194.23</v>
      </c>
      <c r="G40" s="22">
        <v>20000</v>
      </c>
      <c r="H40" s="123">
        <f>-687.44+6331+6331</f>
        <v>11974.56</v>
      </c>
      <c r="I40" s="135">
        <v>20000</v>
      </c>
      <c r="J40" s="135">
        <v>12000</v>
      </c>
    </row>
    <row r="41" spans="1:10" x14ac:dyDescent="0.25">
      <c r="A41" s="13">
        <v>7140</v>
      </c>
      <c r="B41" s="13" t="s">
        <v>45</v>
      </c>
      <c r="C41" s="170"/>
      <c r="D41" s="135"/>
      <c r="E41" s="135"/>
      <c r="F41" s="123"/>
      <c r="G41" s="22"/>
      <c r="H41" s="123"/>
      <c r="I41" s="135"/>
      <c r="J41" s="135"/>
    </row>
    <row r="42" spans="1:10" x14ac:dyDescent="0.25">
      <c r="A42" s="13">
        <v>7320</v>
      </c>
      <c r="B42" s="23" t="s">
        <v>30</v>
      </c>
      <c r="C42" s="172"/>
      <c r="D42" s="135"/>
      <c r="E42" s="135"/>
      <c r="F42" s="123"/>
      <c r="G42" s="22"/>
      <c r="H42" s="123"/>
      <c r="I42" s="135"/>
      <c r="J42" s="135"/>
    </row>
    <row r="43" spans="1:10" x14ac:dyDescent="0.25">
      <c r="A43" s="13">
        <v>7400</v>
      </c>
      <c r="B43" s="13" t="s">
        <v>31</v>
      </c>
      <c r="C43" s="170"/>
      <c r="D43" s="135"/>
      <c r="E43" s="135"/>
      <c r="F43" s="123"/>
      <c r="G43" s="22"/>
      <c r="H43" s="123"/>
      <c r="I43" s="135"/>
      <c r="J43" s="135"/>
    </row>
    <row r="44" spans="1:10" x14ac:dyDescent="0.25">
      <c r="A44" s="13">
        <v>7420</v>
      </c>
      <c r="B44" s="13" t="s">
        <v>12</v>
      </c>
      <c r="C44" s="170"/>
      <c r="D44" s="135"/>
      <c r="E44" s="135"/>
      <c r="F44" s="123"/>
      <c r="G44" s="22"/>
      <c r="H44" s="123"/>
      <c r="I44" s="135"/>
      <c r="J44" s="135"/>
    </row>
    <row r="45" spans="1:10" x14ac:dyDescent="0.25">
      <c r="A45" s="13">
        <v>7500</v>
      </c>
      <c r="B45" s="13" t="s">
        <v>21</v>
      </c>
      <c r="C45" s="170"/>
      <c r="D45" s="135"/>
      <c r="E45" s="135"/>
      <c r="F45" s="123"/>
      <c r="G45" s="22"/>
      <c r="H45" s="123"/>
      <c r="I45" s="135"/>
      <c r="J45" s="135"/>
    </row>
    <row r="46" spans="1:10" s="144" customFormat="1" x14ac:dyDescent="0.25">
      <c r="A46" s="13">
        <v>7745</v>
      </c>
      <c r="B46" s="13" t="s">
        <v>92</v>
      </c>
      <c r="C46" s="170"/>
      <c r="D46" s="135"/>
      <c r="E46" s="135"/>
      <c r="F46" s="123"/>
      <c r="G46" s="135"/>
      <c r="H46" s="123"/>
      <c r="I46" s="135"/>
      <c r="J46" s="135"/>
    </row>
    <row r="47" spans="1:10" x14ac:dyDescent="0.25">
      <c r="A47" s="13">
        <v>7750</v>
      </c>
      <c r="B47" s="13" t="s">
        <v>32</v>
      </c>
      <c r="C47" s="170"/>
      <c r="D47" s="135"/>
      <c r="E47" s="135"/>
      <c r="F47" s="123">
        <v>4750</v>
      </c>
      <c r="G47" s="22"/>
      <c r="H47" s="123"/>
      <c r="I47" s="135"/>
      <c r="J47" s="135"/>
    </row>
    <row r="48" spans="1:10" x14ac:dyDescent="0.25">
      <c r="A48" s="13">
        <v>7755</v>
      </c>
      <c r="B48" s="13" t="s">
        <v>33</v>
      </c>
      <c r="C48" s="170"/>
      <c r="D48" s="135"/>
      <c r="E48" s="135"/>
      <c r="F48" s="123"/>
      <c r="G48" s="22"/>
      <c r="H48" s="123"/>
      <c r="I48" s="135"/>
      <c r="J48" s="135"/>
    </row>
    <row r="49" spans="1:10" x14ac:dyDescent="0.25">
      <c r="A49" s="13">
        <v>7770</v>
      </c>
      <c r="B49" s="13" t="s">
        <v>46</v>
      </c>
      <c r="C49" s="170"/>
      <c r="D49" s="135"/>
      <c r="E49" s="135"/>
      <c r="F49" s="123"/>
      <c r="G49" s="22"/>
      <c r="H49" s="123"/>
      <c r="I49" s="135"/>
      <c r="J49" s="135"/>
    </row>
    <row r="50" spans="1:10" x14ac:dyDescent="0.25">
      <c r="A50" s="13">
        <v>7790</v>
      </c>
      <c r="B50" s="13" t="s">
        <v>34</v>
      </c>
      <c r="C50" s="170"/>
      <c r="D50" s="135">
        <v>830</v>
      </c>
      <c r="E50" s="135">
        <v>425</v>
      </c>
      <c r="F50" s="123"/>
      <c r="G50" s="22">
        <v>1000</v>
      </c>
      <c r="H50" s="123"/>
      <c r="I50" s="135">
        <v>1000</v>
      </c>
      <c r="J50" s="135"/>
    </row>
    <row r="51" spans="1:10" x14ac:dyDescent="0.25">
      <c r="A51" s="13">
        <v>6010</v>
      </c>
      <c r="B51" s="23" t="s">
        <v>35</v>
      </c>
      <c r="C51" s="172"/>
      <c r="D51" s="135">
        <v>40684</v>
      </c>
      <c r="E51" s="135">
        <f>8697+31987</f>
        <v>40684</v>
      </c>
      <c r="F51" s="123">
        <v>74983</v>
      </c>
      <c r="G51" s="22">
        <f>40000+31000+35000</f>
        <v>106000</v>
      </c>
      <c r="H51" s="123">
        <v>74983</v>
      </c>
      <c r="I51" s="135">
        <v>75000</v>
      </c>
      <c r="J51" s="135">
        <v>66000</v>
      </c>
    </row>
    <row r="52" spans="1:10" x14ac:dyDescent="0.25">
      <c r="A52" s="13"/>
      <c r="B52" s="26" t="s">
        <v>36</v>
      </c>
      <c r="C52" s="169"/>
      <c r="D52" s="141">
        <f>SUM(D20:D51)</f>
        <v>109426.95</v>
      </c>
      <c r="E52" s="141">
        <f t="shared" ref="E52:J52" si="1">SUM(E19:E51)</f>
        <v>117848</v>
      </c>
      <c r="F52" s="141">
        <f t="shared" si="1"/>
        <v>191192.22999999998</v>
      </c>
      <c r="G52" s="32">
        <f>SUM(G19:G51)</f>
        <v>206000</v>
      </c>
      <c r="H52" s="141">
        <f t="shared" si="1"/>
        <v>175479.71</v>
      </c>
      <c r="I52" s="141">
        <f t="shared" si="1"/>
        <v>164000</v>
      </c>
      <c r="J52" s="141">
        <f t="shared" si="1"/>
        <v>183000</v>
      </c>
    </row>
    <row r="53" spans="1:10" x14ac:dyDescent="0.25">
      <c r="A53" s="13"/>
      <c r="B53" s="33"/>
      <c r="C53" s="175"/>
      <c r="D53" s="139"/>
      <c r="E53" s="139"/>
      <c r="F53" s="139"/>
      <c r="G53" s="29"/>
      <c r="H53" s="139"/>
      <c r="I53" s="139"/>
      <c r="J53" s="139"/>
    </row>
    <row r="54" spans="1:10" x14ac:dyDescent="0.25">
      <c r="A54" s="13"/>
      <c r="B54" s="26" t="s">
        <v>38</v>
      </c>
      <c r="C54" s="169"/>
      <c r="D54" s="141">
        <f>(D18-D52)</f>
        <v>-2426.9499999999971</v>
      </c>
      <c r="E54" s="141">
        <f t="shared" ref="E54:J54" si="2">E18-E52</f>
        <v>39803</v>
      </c>
      <c r="F54" s="141">
        <f t="shared" si="2"/>
        <v>-342.22999999998137</v>
      </c>
      <c r="G54" s="32">
        <f t="shared" si="2"/>
        <v>-25000</v>
      </c>
      <c r="H54" s="141">
        <f t="shared" si="2"/>
        <v>-17791.709999999992</v>
      </c>
      <c r="I54" s="141">
        <f t="shared" si="2"/>
        <v>7000</v>
      </c>
      <c r="J54" s="141">
        <f t="shared" si="2"/>
        <v>-28000</v>
      </c>
    </row>
    <row r="55" spans="1:10" x14ac:dyDescent="0.25">
      <c r="A55" s="23"/>
      <c r="B55" s="23"/>
      <c r="C55" s="172"/>
      <c r="D55" s="136"/>
      <c r="E55" s="136"/>
      <c r="F55" s="136"/>
      <c r="G55" s="23"/>
      <c r="H55" s="136"/>
      <c r="I55" s="136"/>
      <c r="J55" s="136"/>
    </row>
    <row r="56" spans="1:10" x14ac:dyDescent="0.25">
      <c r="A56" s="23"/>
      <c r="B56" s="24" t="s">
        <v>49</v>
      </c>
      <c r="C56" s="176"/>
      <c r="D56" s="137"/>
      <c r="E56" s="137"/>
      <c r="F56" s="137"/>
      <c r="G56" s="25"/>
      <c r="H56" s="137"/>
      <c r="I56" s="137"/>
      <c r="J56" s="137"/>
    </row>
    <row r="57" spans="1:10" x14ac:dyDescent="0.25">
      <c r="A57" s="23"/>
      <c r="B57" s="23" t="s">
        <v>50</v>
      </c>
      <c r="C57" s="172"/>
      <c r="D57" s="137"/>
      <c r="E57" s="137"/>
      <c r="F57" s="137"/>
      <c r="G57" s="25"/>
      <c r="H57" s="137"/>
      <c r="I57" s="137"/>
      <c r="J57" s="137"/>
    </row>
    <row r="58" spans="1:10" x14ac:dyDescent="0.25">
      <c r="A58" s="23"/>
      <c r="B58" s="23" t="s">
        <v>52</v>
      </c>
      <c r="C58" s="172"/>
      <c r="D58" s="137"/>
      <c r="E58" s="137"/>
      <c r="F58" s="137"/>
      <c r="G58" s="25"/>
      <c r="H58" s="137"/>
      <c r="I58" s="137"/>
      <c r="J58" s="137"/>
    </row>
    <row r="59" spans="1:10" x14ac:dyDescent="0.25">
      <c r="A59" s="23"/>
      <c r="B59" s="34" t="s">
        <v>53</v>
      </c>
      <c r="C59" s="177"/>
      <c r="D59" s="142">
        <f t="shared" ref="D59:E59" si="3">D57-D58</f>
        <v>0</v>
      </c>
      <c r="E59" s="142">
        <f t="shared" si="3"/>
        <v>0</v>
      </c>
      <c r="F59" s="142">
        <f t="shared" ref="F59:H59" si="4">F57-F58</f>
        <v>0</v>
      </c>
      <c r="G59" s="35">
        <f>G57-G58</f>
        <v>0</v>
      </c>
      <c r="H59" s="142">
        <f t="shared" si="4"/>
        <v>0</v>
      </c>
      <c r="I59" s="142">
        <f t="shared" ref="I59" si="5">I57-I58</f>
        <v>0</v>
      </c>
      <c r="J59" s="142"/>
    </row>
    <row r="60" spans="1:10" x14ac:dyDescent="0.25">
      <c r="A60" s="23"/>
      <c r="B60" s="23"/>
      <c r="C60" s="172"/>
      <c r="D60" s="137"/>
      <c r="E60" s="137"/>
      <c r="F60" s="137"/>
      <c r="G60" s="25"/>
      <c r="H60" s="137"/>
      <c r="I60" s="137"/>
      <c r="J60" s="137"/>
    </row>
    <row r="61" spans="1:10" x14ac:dyDescent="0.25">
      <c r="A61" s="23"/>
      <c r="B61" s="36" t="s">
        <v>37</v>
      </c>
      <c r="C61" s="178"/>
      <c r="D61" s="143">
        <f t="shared" ref="D61:E61" si="6">D54+D59</f>
        <v>-2426.9499999999971</v>
      </c>
      <c r="E61" s="143">
        <f t="shared" si="6"/>
        <v>39803</v>
      </c>
      <c r="F61" s="143">
        <f t="shared" ref="F61:H61" si="7">F54+F59</f>
        <v>-342.22999999998137</v>
      </c>
      <c r="G61" s="37">
        <f>G54+G59</f>
        <v>-25000</v>
      </c>
      <c r="H61" s="143">
        <f t="shared" si="7"/>
        <v>-17791.709999999992</v>
      </c>
      <c r="I61" s="143">
        <f t="shared" ref="I61:J61" si="8">I54+I59</f>
        <v>7000</v>
      </c>
      <c r="J61" s="143">
        <f t="shared" si="8"/>
        <v>-28000</v>
      </c>
    </row>
    <row r="63" spans="1:10" x14ac:dyDescent="0.25">
      <c r="B63" t="s">
        <v>205</v>
      </c>
    </row>
    <row r="64" spans="1:10" x14ac:dyDescent="0.25">
      <c r="B64" t="s">
        <v>203</v>
      </c>
    </row>
    <row r="65" spans="2:2" x14ac:dyDescent="0.25">
      <c r="B65" t="s">
        <v>202</v>
      </c>
    </row>
    <row r="66" spans="2:2" x14ac:dyDescent="0.25">
      <c r="B66" t="s">
        <v>204</v>
      </c>
    </row>
  </sheetData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Navngitte områder</vt:lpstr>
      </vt:variant>
      <vt:variant>
        <vt:i4>2</vt:i4>
      </vt:variant>
    </vt:vector>
  </HeadingPairs>
  <TitlesOfParts>
    <vt:vector size="15" baseType="lpstr">
      <vt:lpstr>Turn </vt:lpstr>
      <vt:lpstr>Ski</vt:lpstr>
      <vt:lpstr>Fotball</vt:lpstr>
      <vt:lpstr>Fotball lagvis</vt:lpstr>
      <vt:lpstr>Sykkel</vt:lpstr>
      <vt:lpstr>G &amp; T</vt:lpstr>
      <vt:lpstr>TKD</vt:lpstr>
      <vt:lpstr>Hovedlaget</vt:lpstr>
      <vt:lpstr>Anlegg</vt:lpstr>
      <vt:lpstr>Prestmarka</vt:lpstr>
      <vt:lpstr>Blilie</vt:lpstr>
      <vt:lpstr>Regnskap-Budsjett 2017</vt:lpstr>
      <vt:lpstr>Investeringer </vt:lpstr>
      <vt:lpstr>'Regnskap-Budsjett 2017'!Utskriftsområde</vt:lpstr>
      <vt:lpstr>'Regnskap-Budsjett 2017'!Utskriftstitler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</dc:creator>
  <cp:lastModifiedBy>Bruker</cp:lastModifiedBy>
  <cp:lastPrinted>2015-11-11T18:03:19Z</cp:lastPrinted>
  <dcterms:created xsi:type="dcterms:W3CDTF">2013-10-28T13:40:44Z</dcterms:created>
  <dcterms:modified xsi:type="dcterms:W3CDTF">2017-03-21T18:15:15Z</dcterms:modified>
</cp:coreProperties>
</file>