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irik/OneDrive/Hovedstyret/Årsmøte/2017/Årsmøtedokumenter/"/>
    </mc:Choice>
  </mc:AlternateContent>
  <xr:revisionPtr revIDLastSave="0" documentId="13_ncr:1_{5109F60A-FED2-0F4A-95CC-6992BECA3841}" xr6:coauthVersionLast="28" xr6:coauthVersionMax="28" xr10:uidLastSave="{00000000-0000-0000-0000-000000000000}"/>
  <bookViews>
    <workbookView xWindow="3600" yWindow="460" windowWidth="22000" windowHeight="14380" tabRatio="800" firstSheet="3" activeTab="11" xr2:uid="{00000000-000D-0000-FFFF-FFFF00000000}"/>
  </bookViews>
  <sheets>
    <sheet name="Turn " sheetId="9" r:id="rId1"/>
    <sheet name="Ski" sheetId="10" r:id="rId2"/>
    <sheet name="Fotball" sheetId="5" r:id="rId3"/>
    <sheet name="Fotball lagvis" sheetId="21" r:id="rId4"/>
    <sheet name="Sykkel" sheetId="4" r:id="rId5"/>
    <sheet name="G &amp; T" sheetId="11" r:id="rId6"/>
    <sheet name="TKD" sheetId="24" r:id="rId7"/>
    <sheet name="Hovedlaget" sheetId="2" r:id="rId8"/>
    <sheet name="Anlegg" sheetId="3" r:id="rId9"/>
    <sheet name="Prestmarka" sheetId="7" r:id="rId10"/>
    <sheet name="Blilie" sheetId="6" r:id="rId11"/>
    <sheet name="Regnskap-Budsjett 2017" sheetId="1" r:id="rId12"/>
    <sheet name="Investeringer " sheetId="20" r:id="rId13"/>
    <sheet name="Ark1" sheetId="25" r:id="rId14"/>
    <sheet name="Balanse2017" sheetId="26" r:id="rId15"/>
  </sheets>
  <definedNames>
    <definedName name="_xlnm.Print_Area" localSheetId="11">'Regnskap-Budsjett 2017'!$A$1:$AA$4</definedName>
    <definedName name="_xlnm.Print_Titles" localSheetId="11">'Regnskap-Budsjett 2017'!$1:$4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53" i="1" l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A58" i="1" l="1"/>
  <c r="W58" i="1"/>
  <c r="V58" i="1"/>
  <c r="K59" i="2"/>
  <c r="K14" i="2" l="1"/>
  <c r="W32" i="1" l="1"/>
  <c r="R52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18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E52" i="1"/>
  <c r="H52" i="1"/>
  <c r="P54" i="21"/>
  <c r="L51" i="5" s="1"/>
  <c r="K52" i="1" s="1"/>
  <c r="N52" i="1"/>
  <c r="Q52" i="1"/>
  <c r="T52" i="1"/>
  <c r="W52" i="1"/>
  <c r="E21" i="1"/>
  <c r="H21" i="1"/>
  <c r="P23" i="21"/>
  <c r="L20" i="5"/>
  <c r="K21" i="1"/>
  <c r="N21" i="1"/>
  <c r="Q21" i="1"/>
  <c r="T21" i="1"/>
  <c r="W21" i="1"/>
  <c r="E22" i="1"/>
  <c r="H22" i="1"/>
  <c r="P24" i="21"/>
  <c r="L21" i="5" s="1"/>
  <c r="K22" i="1" s="1"/>
  <c r="N22" i="1"/>
  <c r="Q22" i="1"/>
  <c r="AC22" i="1" s="1"/>
  <c r="T22" i="1"/>
  <c r="W22" i="1"/>
  <c r="E23" i="1"/>
  <c r="H23" i="1"/>
  <c r="P25" i="21"/>
  <c r="L22" i="5"/>
  <c r="K23" i="1"/>
  <c r="N23" i="1"/>
  <c r="Q23" i="1"/>
  <c r="T23" i="1"/>
  <c r="W23" i="1"/>
  <c r="E24" i="1"/>
  <c r="AC24" i="1" s="1"/>
  <c r="H24" i="1"/>
  <c r="P26" i="21"/>
  <c r="L23" i="5" s="1"/>
  <c r="K24" i="1" s="1"/>
  <c r="N24" i="1"/>
  <c r="Q24" i="1"/>
  <c r="T24" i="1"/>
  <c r="W24" i="1"/>
  <c r="E25" i="1"/>
  <c r="H25" i="1"/>
  <c r="P27" i="21"/>
  <c r="L24" i="5"/>
  <c r="K25" i="1" s="1"/>
  <c r="N25" i="1"/>
  <c r="Q25" i="1"/>
  <c r="T25" i="1"/>
  <c r="W25" i="1"/>
  <c r="E26" i="1"/>
  <c r="H26" i="1"/>
  <c r="P28" i="21"/>
  <c r="L25" i="5" s="1"/>
  <c r="K26" i="1" s="1"/>
  <c r="N26" i="1"/>
  <c r="Q26" i="1"/>
  <c r="T26" i="1"/>
  <c r="W26" i="1"/>
  <c r="E27" i="1"/>
  <c r="H27" i="1"/>
  <c r="P29" i="21"/>
  <c r="L26" i="5"/>
  <c r="K27" i="1"/>
  <c r="N27" i="1"/>
  <c r="Q27" i="1"/>
  <c r="T27" i="1"/>
  <c r="W27" i="1"/>
  <c r="E28" i="1"/>
  <c r="H28" i="1"/>
  <c r="P30" i="21"/>
  <c r="L27" i="5" s="1"/>
  <c r="K28" i="1" s="1"/>
  <c r="N28" i="1"/>
  <c r="Q28" i="1"/>
  <c r="T28" i="1"/>
  <c r="W28" i="1"/>
  <c r="E29" i="1"/>
  <c r="H29" i="1"/>
  <c r="P31" i="21"/>
  <c r="L28" i="5"/>
  <c r="K29" i="1"/>
  <c r="N29" i="1"/>
  <c r="Q29" i="1"/>
  <c r="T29" i="1"/>
  <c r="W29" i="1"/>
  <c r="E30" i="1"/>
  <c r="H30" i="1"/>
  <c r="P32" i="21"/>
  <c r="L29" i="5" s="1"/>
  <c r="K30" i="1" s="1"/>
  <c r="N30" i="1"/>
  <c r="Q30" i="1"/>
  <c r="T30" i="1"/>
  <c r="W30" i="1"/>
  <c r="E31" i="1"/>
  <c r="H31" i="1"/>
  <c r="P33" i="21"/>
  <c r="L30" i="5"/>
  <c r="K31" i="1"/>
  <c r="N31" i="1"/>
  <c r="Q31" i="1"/>
  <c r="T31" i="1"/>
  <c r="W31" i="1"/>
  <c r="E32" i="1"/>
  <c r="H32" i="1"/>
  <c r="P34" i="21"/>
  <c r="L31" i="5" s="1"/>
  <c r="K32" i="1" s="1"/>
  <c r="N32" i="1"/>
  <c r="Q32" i="1"/>
  <c r="T32" i="1"/>
  <c r="E33" i="1"/>
  <c r="H33" i="1"/>
  <c r="P35" i="21"/>
  <c r="L32" i="5"/>
  <c r="K33" i="1"/>
  <c r="N33" i="1"/>
  <c r="Q33" i="1"/>
  <c r="T33" i="1"/>
  <c r="W33" i="1"/>
  <c r="AC33" i="1" s="1"/>
  <c r="E34" i="1"/>
  <c r="H34" i="1"/>
  <c r="P36" i="21"/>
  <c r="L33" i="5"/>
  <c r="K34" i="1" s="1"/>
  <c r="N34" i="1"/>
  <c r="Q34" i="1"/>
  <c r="T34" i="1"/>
  <c r="W34" i="1"/>
  <c r="E35" i="1"/>
  <c r="H35" i="1"/>
  <c r="P37" i="21"/>
  <c r="L34" i="5"/>
  <c r="K35" i="1"/>
  <c r="N35" i="1"/>
  <c r="Q35" i="1"/>
  <c r="T35" i="1"/>
  <c r="E36" i="1"/>
  <c r="H36" i="1"/>
  <c r="P38" i="21"/>
  <c r="L35" i="5" s="1"/>
  <c r="K36" i="1" s="1"/>
  <c r="N36" i="1"/>
  <c r="Q36" i="1"/>
  <c r="T36" i="1"/>
  <c r="W36" i="1"/>
  <c r="E37" i="1"/>
  <c r="H37" i="1"/>
  <c r="P39" i="21"/>
  <c r="L36" i="5"/>
  <c r="K37" i="1"/>
  <c r="N37" i="1"/>
  <c r="Q37" i="1"/>
  <c r="T37" i="1"/>
  <c r="W37" i="1"/>
  <c r="E38" i="1"/>
  <c r="H38" i="1"/>
  <c r="P40" i="21"/>
  <c r="L37" i="5"/>
  <c r="K38" i="1" s="1"/>
  <c r="N38" i="1"/>
  <c r="Q38" i="1"/>
  <c r="T38" i="1"/>
  <c r="W38" i="1"/>
  <c r="E39" i="1"/>
  <c r="H39" i="1"/>
  <c r="P41" i="21"/>
  <c r="L38" i="5"/>
  <c r="K39" i="1"/>
  <c r="N39" i="1"/>
  <c r="Q39" i="1"/>
  <c r="T39" i="1"/>
  <c r="W39" i="1"/>
  <c r="E40" i="1"/>
  <c r="H40" i="1"/>
  <c r="P42" i="21"/>
  <c r="L39" i="5" s="1"/>
  <c r="K40" i="1" s="1"/>
  <c r="N40" i="1"/>
  <c r="Q40" i="1"/>
  <c r="T40" i="1"/>
  <c r="W40" i="1"/>
  <c r="E41" i="1"/>
  <c r="H41" i="1"/>
  <c r="P43" i="21"/>
  <c r="L40" i="5" s="1"/>
  <c r="K41" i="1" s="1"/>
  <c r="N41" i="1"/>
  <c r="Q41" i="1"/>
  <c r="T41" i="1"/>
  <c r="W41" i="1"/>
  <c r="E42" i="1"/>
  <c r="H42" i="1"/>
  <c r="P44" i="21"/>
  <c r="L41" i="5"/>
  <c r="K42" i="1" s="1"/>
  <c r="N42" i="1"/>
  <c r="Q42" i="1"/>
  <c r="T42" i="1"/>
  <c r="W42" i="1"/>
  <c r="E43" i="1"/>
  <c r="H43" i="1"/>
  <c r="P45" i="21"/>
  <c r="L42" i="5" s="1"/>
  <c r="K43" i="1"/>
  <c r="N43" i="1"/>
  <c r="Q43" i="1"/>
  <c r="T43" i="1"/>
  <c r="W43" i="1"/>
  <c r="AC43" i="1" s="1"/>
  <c r="E44" i="1"/>
  <c r="H44" i="1"/>
  <c r="P46" i="21"/>
  <c r="L43" i="5"/>
  <c r="K44" i="1" s="1"/>
  <c r="N44" i="1"/>
  <c r="Q44" i="1"/>
  <c r="T44" i="1"/>
  <c r="W44" i="1"/>
  <c r="E45" i="1"/>
  <c r="H45" i="1"/>
  <c r="P47" i="21"/>
  <c r="L44" i="5" s="1"/>
  <c r="K45" i="1"/>
  <c r="N45" i="1"/>
  <c r="Q45" i="1"/>
  <c r="T45" i="1"/>
  <c r="W45" i="1"/>
  <c r="E46" i="1"/>
  <c r="H46" i="1"/>
  <c r="P48" i="21"/>
  <c r="L45" i="5" s="1"/>
  <c r="K46" i="1" s="1"/>
  <c r="N46" i="1"/>
  <c r="Q46" i="1"/>
  <c r="T46" i="1"/>
  <c r="W46" i="1"/>
  <c r="E47" i="1"/>
  <c r="H47" i="1"/>
  <c r="P49" i="21"/>
  <c r="L46" i="5" s="1"/>
  <c r="K47" i="1" s="1"/>
  <c r="N47" i="1"/>
  <c r="Q47" i="1"/>
  <c r="T47" i="1"/>
  <c r="W47" i="1"/>
  <c r="E48" i="1"/>
  <c r="H48" i="1"/>
  <c r="P50" i="21"/>
  <c r="L47" i="5" s="1"/>
  <c r="N48" i="1"/>
  <c r="Q48" i="1"/>
  <c r="T48" i="1"/>
  <c r="W48" i="1"/>
  <c r="E49" i="1"/>
  <c r="H49" i="1"/>
  <c r="P51" i="21"/>
  <c r="L48" i="5" s="1"/>
  <c r="K49" i="1" s="1"/>
  <c r="N49" i="1"/>
  <c r="Q49" i="1"/>
  <c r="T49" i="1"/>
  <c r="W49" i="1"/>
  <c r="E50" i="1"/>
  <c r="H50" i="1"/>
  <c r="P52" i="21"/>
  <c r="L49" i="5"/>
  <c r="K50" i="1" s="1"/>
  <c r="N50" i="1"/>
  <c r="Q50" i="1"/>
  <c r="T50" i="1"/>
  <c r="W50" i="1"/>
  <c r="E51" i="1"/>
  <c r="H51" i="1"/>
  <c r="P53" i="21"/>
  <c r="L50" i="5" s="1"/>
  <c r="K51" i="1"/>
  <c r="AC51" i="1" s="1"/>
  <c r="N51" i="1"/>
  <c r="Q51" i="1"/>
  <c r="T51" i="1"/>
  <c r="W51" i="1"/>
  <c r="E5" i="1"/>
  <c r="H5" i="1"/>
  <c r="P7" i="21"/>
  <c r="L4" i="5" s="1"/>
  <c r="K5" i="1" s="1"/>
  <c r="N5" i="1"/>
  <c r="Q5" i="1"/>
  <c r="T5" i="1"/>
  <c r="W5" i="1"/>
  <c r="E6" i="1"/>
  <c r="H6" i="1"/>
  <c r="P8" i="21"/>
  <c r="L5" i="5"/>
  <c r="K6" i="1" s="1"/>
  <c r="N6" i="1"/>
  <c r="Q6" i="1"/>
  <c r="T6" i="1"/>
  <c r="W6" i="1"/>
  <c r="E7" i="1"/>
  <c r="H7" i="1"/>
  <c r="P9" i="21"/>
  <c r="L6" i="5" s="1"/>
  <c r="K7" i="1" s="1"/>
  <c r="N7" i="1"/>
  <c r="Q7" i="1"/>
  <c r="T7" i="1"/>
  <c r="W7" i="1"/>
  <c r="E8" i="1"/>
  <c r="H8" i="1"/>
  <c r="P10" i="21"/>
  <c r="L7" i="5"/>
  <c r="K8" i="1" s="1"/>
  <c r="N8" i="1"/>
  <c r="Q8" i="1"/>
  <c r="T8" i="1"/>
  <c r="W8" i="1"/>
  <c r="E9" i="1"/>
  <c r="H9" i="1"/>
  <c r="P11" i="21"/>
  <c r="L8" i="5" s="1"/>
  <c r="K9" i="1" s="1"/>
  <c r="N9" i="1"/>
  <c r="Q9" i="1"/>
  <c r="T9" i="1"/>
  <c r="W9" i="1"/>
  <c r="E10" i="1"/>
  <c r="H10" i="1"/>
  <c r="P12" i="21"/>
  <c r="L9" i="5"/>
  <c r="K10" i="1"/>
  <c r="N10" i="1"/>
  <c r="Q10" i="1"/>
  <c r="T10" i="1"/>
  <c r="W10" i="1"/>
  <c r="E11" i="1"/>
  <c r="H11" i="1"/>
  <c r="P13" i="21"/>
  <c r="L10" i="5" s="1"/>
  <c r="K11" i="1" s="1"/>
  <c r="N11" i="1"/>
  <c r="Q11" i="1"/>
  <c r="AC11" i="1" s="1"/>
  <c r="T11" i="1"/>
  <c r="W11" i="1"/>
  <c r="E12" i="1"/>
  <c r="H12" i="1"/>
  <c r="P14" i="21"/>
  <c r="L11" i="5"/>
  <c r="K12" i="1"/>
  <c r="N12" i="1"/>
  <c r="Q12" i="1"/>
  <c r="T12" i="1"/>
  <c r="W12" i="1"/>
  <c r="E13" i="1"/>
  <c r="H13" i="1"/>
  <c r="P15" i="21"/>
  <c r="L12" i="5" s="1"/>
  <c r="K13" i="1" s="1"/>
  <c r="N13" i="1"/>
  <c r="Q13" i="1"/>
  <c r="T13" i="1"/>
  <c r="W13" i="1"/>
  <c r="E14" i="1"/>
  <c r="H14" i="1"/>
  <c r="P16" i="21"/>
  <c r="L13" i="5"/>
  <c r="K14" i="1" s="1"/>
  <c r="N14" i="1"/>
  <c r="Q14" i="1"/>
  <c r="T14" i="1"/>
  <c r="W14" i="1"/>
  <c r="E15" i="1"/>
  <c r="H15" i="1"/>
  <c r="P17" i="21"/>
  <c r="L14" i="5" s="1"/>
  <c r="K15" i="1" s="1"/>
  <c r="N15" i="1"/>
  <c r="Q15" i="1"/>
  <c r="T15" i="1"/>
  <c r="W15" i="1"/>
  <c r="E16" i="1"/>
  <c r="H16" i="1"/>
  <c r="P18" i="21"/>
  <c r="L15" i="5"/>
  <c r="K16" i="1" s="1"/>
  <c r="N16" i="1"/>
  <c r="Q16" i="1"/>
  <c r="T16" i="1"/>
  <c r="W16" i="1"/>
  <c r="E17" i="1"/>
  <c r="H17" i="1"/>
  <c r="P19" i="21"/>
  <c r="L16" i="5" s="1"/>
  <c r="K17" i="1" s="1"/>
  <c r="N17" i="1"/>
  <c r="Q17" i="1"/>
  <c r="T17" i="1"/>
  <c r="W17" i="1"/>
  <c r="E18" i="1"/>
  <c r="H18" i="1"/>
  <c r="P20" i="21"/>
  <c r="L17" i="5"/>
  <c r="K18" i="1"/>
  <c r="N18" i="1"/>
  <c r="Q18" i="1"/>
  <c r="T18" i="1"/>
  <c r="W18" i="1"/>
  <c r="D52" i="1"/>
  <c r="G52" i="1"/>
  <c r="M52" i="1"/>
  <c r="P52" i="1"/>
  <c r="S52" i="1"/>
  <c r="V52" i="1"/>
  <c r="D21" i="1"/>
  <c r="G21" i="1"/>
  <c r="M21" i="1"/>
  <c r="P21" i="1"/>
  <c r="S21" i="1"/>
  <c r="V21" i="1"/>
  <c r="D22" i="1"/>
  <c r="G22" i="1"/>
  <c r="M22" i="1"/>
  <c r="P22" i="1"/>
  <c r="S22" i="1"/>
  <c r="V22" i="1"/>
  <c r="D23" i="1"/>
  <c r="G23" i="1"/>
  <c r="M23" i="1"/>
  <c r="P23" i="1"/>
  <c r="S23" i="1"/>
  <c r="V23" i="1"/>
  <c r="D24" i="1"/>
  <c r="G24" i="1"/>
  <c r="M24" i="1"/>
  <c r="P24" i="1"/>
  <c r="S24" i="1"/>
  <c r="V24" i="1"/>
  <c r="D25" i="1"/>
  <c r="G25" i="1"/>
  <c r="M25" i="1"/>
  <c r="P25" i="1"/>
  <c r="S25" i="1"/>
  <c r="V25" i="1"/>
  <c r="D26" i="1"/>
  <c r="G26" i="1"/>
  <c r="M26" i="1"/>
  <c r="P26" i="1"/>
  <c r="S26" i="1"/>
  <c r="V26" i="1"/>
  <c r="D27" i="1"/>
  <c r="G27" i="1"/>
  <c r="M27" i="1"/>
  <c r="P27" i="1"/>
  <c r="S27" i="1"/>
  <c r="V27" i="1"/>
  <c r="D28" i="1"/>
  <c r="G28" i="1"/>
  <c r="M28" i="1"/>
  <c r="P28" i="1"/>
  <c r="S28" i="1"/>
  <c r="V28" i="1"/>
  <c r="D29" i="1"/>
  <c r="G29" i="1"/>
  <c r="M29" i="1"/>
  <c r="P29" i="1"/>
  <c r="S29" i="1"/>
  <c r="V29" i="1"/>
  <c r="D30" i="1"/>
  <c r="G30" i="1"/>
  <c r="M30" i="1"/>
  <c r="P30" i="1"/>
  <c r="S30" i="1"/>
  <c r="V30" i="1"/>
  <c r="D31" i="1"/>
  <c r="G31" i="1"/>
  <c r="M31" i="1"/>
  <c r="P31" i="1"/>
  <c r="S31" i="1"/>
  <c r="V31" i="1"/>
  <c r="D32" i="1"/>
  <c r="G32" i="1"/>
  <c r="M32" i="1"/>
  <c r="P32" i="1"/>
  <c r="S32" i="1"/>
  <c r="V32" i="1"/>
  <c r="D33" i="1"/>
  <c r="G33" i="1"/>
  <c r="M33" i="1"/>
  <c r="P33" i="1"/>
  <c r="S33" i="1"/>
  <c r="V33" i="1"/>
  <c r="D34" i="1"/>
  <c r="G34" i="1"/>
  <c r="M34" i="1"/>
  <c r="P34" i="1"/>
  <c r="S34" i="1"/>
  <c r="V34" i="1"/>
  <c r="D35" i="1"/>
  <c r="G35" i="1"/>
  <c r="M35" i="1"/>
  <c r="P35" i="1"/>
  <c r="S35" i="1"/>
  <c r="V35" i="1"/>
  <c r="D36" i="1"/>
  <c r="G36" i="1"/>
  <c r="M36" i="1"/>
  <c r="P36" i="1"/>
  <c r="S36" i="1"/>
  <c r="V36" i="1"/>
  <c r="D37" i="1"/>
  <c r="G37" i="1"/>
  <c r="M37" i="1"/>
  <c r="P37" i="1"/>
  <c r="S37" i="1"/>
  <c r="V37" i="1"/>
  <c r="D38" i="1"/>
  <c r="G38" i="1"/>
  <c r="M38" i="1"/>
  <c r="P38" i="1"/>
  <c r="S38" i="1"/>
  <c r="V38" i="1"/>
  <c r="D39" i="1"/>
  <c r="G39" i="1"/>
  <c r="M39" i="1"/>
  <c r="P39" i="1"/>
  <c r="S39" i="1"/>
  <c r="V39" i="1"/>
  <c r="D40" i="1"/>
  <c r="G40" i="1"/>
  <c r="M40" i="1"/>
  <c r="P40" i="1"/>
  <c r="S40" i="1"/>
  <c r="V40" i="1"/>
  <c r="D41" i="1"/>
  <c r="G41" i="1"/>
  <c r="M41" i="1"/>
  <c r="P41" i="1"/>
  <c r="S41" i="1"/>
  <c r="V41" i="1"/>
  <c r="D42" i="1"/>
  <c r="G42" i="1"/>
  <c r="M42" i="1"/>
  <c r="P42" i="1"/>
  <c r="S42" i="1"/>
  <c r="V42" i="1"/>
  <c r="D43" i="1"/>
  <c r="G43" i="1"/>
  <c r="M43" i="1"/>
  <c r="P43" i="1"/>
  <c r="S43" i="1"/>
  <c r="V43" i="1"/>
  <c r="D44" i="1"/>
  <c r="G44" i="1"/>
  <c r="M44" i="1"/>
  <c r="P44" i="1"/>
  <c r="S44" i="1"/>
  <c r="V44" i="1"/>
  <c r="D45" i="1"/>
  <c r="G45" i="1"/>
  <c r="M45" i="1"/>
  <c r="P45" i="1"/>
  <c r="S45" i="1"/>
  <c r="V45" i="1"/>
  <c r="D46" i="1"/>
  <c r="G46" i="1"/>
  <c r="M46" i="1"/>
  <c r="P46" i="1"/>
  <c r="S46" i="1"/>
  <c r="V46" i="1"/>
  <c r="D47" i="1"/>
  <c r="G47" i="1"/>
  <c r="M47" i="1"/>
  <c r="P47" i="1"/>
  <c r="S47" i="1"/>
  <c r="V47" i="1"/>
  <c r="D48" i="1"/>
  <c r="G48" i="1"/>
  <c r="M48" i="1"/>
  <c r="P48" i="1"/>
  <c r="S48" i="1"/>
  <c r="V48" i="1"/>
  <c r="D49" i="1"/>
  <c r="G49" i="1"/>
  <c r="M49" i="1"/>
  <c r="P49" i="1"/>
  <c r="S49" i="1"/>
  <c r="V49" i="1"/>
  <c r="D50" i="1"/>
  <c r="G50" i="1"/>
  <c r="M50" i="1"/>
  <c r="P50" i="1"/>
  <c r="S50" i="1"/>
  <c r="V50" i="1"/>
  <c r="D51" i="1"/>
  <c r="G51" i="1"/>
  <c r="M51" i="1"/>
  <c r="P51" i="1"/>
  <c r="S51" i="1"/>
  <c r="V51" i="1"/>
  <c r="D6" i="1"/>
  <c r="G6" i="1"/>
  <c r="M6" i="1"/>
  <c r="P6" i="1"/>
  <c r="S6" i="1"/>
  <c r="V6" i="1"/>
  <c r="D5" i="1"/>
  <c r="G5" i="1"/>
  <c r="M5" i="1"/>
  <c r="P5" i="1"/>
  <c r="S5" i="1"/>
  <c r="V5" i="1"/>
  <c r="D7" i="1"/>
  <c r="G7" i="1"/>
  <c r="M7" i="1"/>
  <c r="P7" i="1"/>
  <c r="S7" i="1"/>
  <c r="D8" i="1"/>
  <c r="G8" i="1"/>
  <c r="M8" i="1"/>
  <c r="P8" i="1"/>
  <c r="S8" i="1"/>
  <c r="V8" i="1"/>
  <c r="D9" i="1"/>
  <c r="G9" i="1"/>
  <c r="M9" i="1"/>
  <c r="P9" i="1"/>
  <c r="S9" i="1"/>
  <c r="V9" i="1"/>
  <c r="D10" i="1"/>
  <c r="G10" i="1"/>
  <c r="M10" i="1"/>
  <c r="P10" i="1"/>
  <c r="S10" i="1"/>
  <c r="V10" i="1"/>
  <c r="D11" i="1"/>
  <c r="G11" i="1"/>
  <c r="M11" i="1"/>
  <c r="P11" i="1"/>
  <c r="S11" i="1"/>
  <c r="V11" i="1"/>
  <c r="D12" i="1"/>
  <c r="G12" i="1"/>
  <c r="M12" i="1"/>
  <c r="P12" i="1"/>
  <c r="S12" i="1"/>
  <c r="V12" i="1"/>
  <c r="D13" i="1"/>
  <c r="G13" i="1"/>
  <c r="M13" i="1"/>
  <c r="P13" i="1"/>
  <c r="S13" i="1"/>
  <c r="V13" i="1"/>
  <c r="D14" i="1"/>
  <c r="G14" i="1"/>
  <c r="M14" i="1"/>
  <c r="P14" i="1"/>
  <c r="S14" i="1"/>
  <c r="V14" i="1"/>
  <c r="D15" i="1"/>
  <c r="G15" i="1"/>
  <c r="M15" i="1"/>
  <c r="P15" i="1"/>
  <c r="S15" i="1"/>
  <c r="D16" i="1"/>
  <c r="G16" i="1"/>
  <c r="M16" i="1"/>
  <c r="P16" i="1"/>
  <c r="S16" i="1"/>
  <c r="V16" i="1"/>
  <c r="D17" i="1"/>
  <c r="G17" i="1"/>
  <c r="M17" i="1"/>
  <c r="P17" i="1"/>
  <c r="S17" i="1"/>
  <c r="V17" i="1"/>
  <c r="D18" i="1"/>
  <c r="G18" i="1"/>
  <c r="M18" i="1"/>
  <c r="P18" i="1"/>
  <c r="S18" i="1"/>
  <c r="L52" i="4"/>
  <c r="L54" i="4" s="1"/>
  <c r="L18" i="4"/>
  <c r="U17" i="1"/>
  <c r="U16" i="1"/>
  <c r="U14" i="1"/>
  <c r="U13" i="1"/>
  <c r="U12" i="1"/>
  <c r="U11" i="1"/>
  <c r="U10" i="1"/>
  <c r="U9" i="1"/>
  <c r="U8" i="1"/>
  <c r="U7" i="1"/>
  <c r="U6" i="1"/>
  <c r="U45" i="1"/>
  <c r="U44" i="1"/>
  <c r="U43" i="1"/>
  <c r="U42" i="1"/>
  <c r="U40" i="1"/>
  <c r="U39" i="1"/>
  <c r="U38" i="1"/>
  <c r="U37" i="1"/>
  <c r="U36" i="1"/>
  <c r="U35" i="1"/>
  <c r="U34" i="1"/>
  <c r="U31" i="1"/>
  <c r="U30" i="1"/>
  <c r="U29" i="1"/>
  <c r="U28" i="1"/>
  <c r="U26" i="1"/>
  <c r="U25" i="1"/>
  <c r="U23" i="1"/>
  <c r="U22" i="1"/>
  <c r="U21" i="1"/>
  <c r="U52" i="1"/>
  <c r="U51" i="1"/>
  <c r="U50" i="1"/>
  <c r="U49" i="1"/>
  <c r="U48" i="1"/>
  <c r="U47" i="1"/>
  <c r="L52" i="7"/>
  <c r="L52" i="6"/>
  <c r="L54" i="6" s="1"/>
  <c r="L18" i="7"/>
  <c r="L52" i="3"/>
  <c r="K52" i="3"/>
  <c r="L18" i="3"/>
  <c r="K18" i="3"/>
  <c r="L52" i="2"/>
  <c r="L18" i="2"/>
  <c r="L34" i="2"/>
  <c r="W35" i="1" s="1"/>
  <c r="AC35" i="1" s="1"/>
  <c r="L18" i="6"/>
  <c r="V15" i="1"/>
  <c r="AA5" i="1"/>
  <c r="AA25" i="1"/>
  <c r="E30" i="24"/>
  <c r="AA36" i="1"/>
  <c r="C52" i="1"/>
  <c r="F52" i="1"/>
  <c r="L52" i="1"/>
  <c r="O52" i="1"/>
  <c r="C51" i="1"/>
  <c r="F51" i="1"/>
  <c r="L51" i="1"/>
  <c r="O51" i="1"/>
  <c r="C50" i="1"/>
  <c r="F50" i="1"/>
  <c r="L50" i="1"/>
  <c r="O50" i="1"/>
  <c r="C49" i="1"/>
  <c r="F49" i="1"/>
  <c r="L49" i="1"/>
  <c r="O49" i="1"/>
  <c r="C48" i="1"/>
  <c r="F48" i="1"/>
  <c r="L48" i="1"/>
  <c r="O48" i="1"/>
  <c r="C47" i="1"/>
  <c r="F47" i="1"/>
  <c r="L47" i="1"/>
  <c r="O47" i="1"/>
  <c r="C46" i="1"/>
  <c r="F46" i="1"/>
  <c r="L46" i="1"/>
  <c r="O46" i="1"/>
  <c r="C45" i="1"/>
  <c r="F45" i="1"/>
  <c r="L45" i="1"/>
  <c r="O45" i="1"/>
  <c r="C44" i="1"/>
  <c r="F44" i="1"/>
  <c r="L44" i="1"/>
  <c r="O44" i="1"/>
  <c r="C43" i="1"/>
  <c r="F43" i="1"/>
  <c r="L43" i="1"/>
  <c r="O43" i="1"/>
  <c r="C42" i="1"/>
  <c r="F42" i="1"/>
  <c r="L42" i="1"/>
  <c r="O42" i="1"/>
  <c r="C41" i="1"/>
  <c r="F41" i="1"/>
  <c r="L41" i="1"/>
  <c r="O41" i="1"/>
  <c r="C40" i="1"/>
  <c r="F40" i="1"/>
  <c r="L40" i="1"/>
  <c r="O40" i="1"/>
  <c r="C39" i="1"/>
  <c r="F39" i="1"/>
  <c r="L39" i="1"/>
  <c r="O39" i="1"/>
  <c r="C38" i="1"/>
  <c r="F38" i="1"/>
  <c r="L38" i="1"/>
  <c r="O38" i="1"/>
  <c r="C37" i="1"/>
  <c r="F37" i="1"/>
  <c r="L37" i="1"/>
  <c r="O37" i="1"/>
  <c r="C36" i="1"/>
  <c r="F36" i="1"/>
  <c r="L36" i="1"/>
  <c r="O36" i="1"/>
  <c r="C35" i="1"/>
  <c r="F35" i="1"/>
  <c r="L35" i="1"/>
  <c r="O35" i="1"/>
  <c r="C34" i="1"/>
  <c r="F34" i="1"/>
  <c r="L34" i="1"/>
  <c r="O34" i="1"/>
  <c r="C33" i="1"/>
  <c r="F33" i="1"/>
  <c r="L33" i="1"/>
  <c r="O33" i="1"/>
  <c r="C32" i="1"/>
  <c r="F32" i="1"/>
  <c r="L32" i="1"/>
  <c r="O32" i="1"/>
  <c r="C31" i="1"/>
  <c r="F31" i="1"/>
  <c r="L31" i="1"/>
  <c r="O31" i="1"/>
  <c r="C30" i="1"/>
  <c r="F30" i="1"/>
  <c r="L30" i="1"/>
  <c r="O30" i="1"/>
  <c r="C29" i="1"/>
  <c r="F29" i="1"/>
  <c r="L29" i="1"/>
  <c r="O29" i="1"/>
  <c r="C28" i="1"/>
  <c r="F28" i="1"/>
  <c r="L28" i="1"/>
  <c r="O28" i="1"/>
  <c r="C27" i="1"/>
  <c r="F27" i="1"/>
  <c r="L27" i="1"/>
  <c r="O27" i="1"/>
  <c r="C26" i="1"/>
  <c r="F26" i="1"/>
  <c r="L26" i="1"/>
  <c r="O26" i="1"/>
  <c r="C25" i="1"/>
  <c r="F25" i="1"/>
  <c r="L25" i="1"/>
  <c r="O25" i="1"/>
  <c r="C24" i="1"/>
  <c r="F24" i="1"/>
  <c r="L24" i="1"/>
  <c r="O24" i="1"/>
  <c r="C23" i="1"/>
  <c r="F23" i="1"/>
  <c r="L23" i="1"/>
  <c r="O23" i="1"/>
  <c r="C22" i="1"/>
  <c r="F22" i="1"/>
  <c r="L22" i="1"/>
  <c r="O22" i="1"/>
  <c r="C21" i="1"/>
  <c r="F21" i="1"/>
  <c r="L21" i="1"/>
  <c r="O21" i="1"/>
  <c r="C18" i="1"/>
  <c r="F18" i="1"/>
  <c r="L18" i="1"/>
  <c r="O18" i="1"/>
  <c r="C17" i="1"/>
  <c r="F17" i="1"/>
  <c r="I17" i="1"/>
  <c r="L17" i="1"/>
  <c r="O17" i="1"/>
  <c r="C16" i="1"/>
  <c r="F16" i="1"/>
  <c r="L16" i="1"/>
  <c r="O16" i="1"/>
  <c r="C15" i="1"/>
  <c r="F15" i="1"/>
  <c r="L15" i="1"/>
  <c r="O15" i="1"/>
  <c r="C14" i="1"/>
  <c r="F14" i="1"/>
  <c r="L14" i="1"/>
  <c r="O14" i="1"/>
  <c r="C13" i="1"/>
  <c r="F13" i="1"/>
  <c r="L13" i="1"/>
  <c r="O13" i="1"/>
  <c r="C12" i="1"/>
  <c r="F12" i="1"/>
  <c r="L12" i="1"/>
  <c r="O12" i="1"/>
  <c r="C11" i="1"/>
  <c r="F11" i="1"/>
  <c r="L11" i="1"/>
  <c r="O11" i="1"/>
  <c r="C10" i="1"/>
  <c r="F10" i="1"/>
  <c r="L10" i="1"/>
  <c r="O10" i="1"/>
  <c r="C9" i="1"/>
  <c r="F9" i="1"/>
  <c r="L9" i="1"/>
  <c r="O9" i="1"/>
  <c r="C8" i="1"/>
  <c r="F8" i="1"/>
  <c r="L8" i="1"/>
  <c r="O8" i="1"/>
  <c r="F7" i="1"/>
  <c r="L7" i="1"/>
  <c r="O7" i="1"/>
  <c r="C6" i="1"/>
  <c r="F6" i="1"/>
  <c r="L6" i="1"/>
  <c r="O6" i="1"/>
  <c r="C5" i="1"/>
  <c r="F5" i="1"/>
  <c r="L5" i="1"/>
  <c r="O5" i="1"/>
  <c r="X43" i="1"/>
  <c r="X27" i="1"/>
  <c r="X9" i="1"/>
  <c r="P4" i="1"/>
  <c r="O4" i="1"/>
  <c r="W4" i="1"/>
  <c r="T4" i="1"/>
  <c r="Q4" i="1"/>
  <c r="N4" i="1"/>
  <c r="K4" i="1"/>
  <c r="H4" i="1"/>
  <c r="K52" i="4"/>
  <c r="K18" i="4"/>
  <c r="K54" i="4" s="1"/>
  <c r="AN14" i="21"/>
  <c r="AN21" i="21" s="1"/>
  <c r="AN57" i="21" s="1"/>
  <c r="AG18" i="21"/>
  <c r="AB55" i="21"/>
  <c r="U21" i="21"/>
  <c r="U57" i="21" s="1"/>
  <c r="U64" i="21" s="1"/>
  <c r="K52" i="6"/>
  <c r="K18" i="6"/>
  <c r="K18" i="7"/>
  <c r="K52" i="7"/>
  <c r="K52" i="2"/>
  <c r="K17" i="2"/>
  <c r="V18" i="1" s="1"/>
  <c r="V7" i="1"/>
  <c r="O9" i="21"/>
  <c r="K6" i="5"/>
  <c r="J7" i="1" s="1"/>
  <c r="O7" i="21"/>
  <c r="K4" i="5"/>
  <c r="J5" i="1" s="1"/>
  <c r="O17" i="21"/>
  <c r="K14" i="5"/>
  <c r="J15" i="1" s="1"/>
  <c r="O18" i="21"/>
  <c r="K15" i="5"/>
  <c r="J16" i="1" s="1"/>
  <c r="AB16" i="1" s="1"/>
  <c r="O13" i="21"/>
  <c r="K10" i="5" s="1"/>
  <c r="J11" i="1" s="1"/>
  <c r="O40" i="21"/>
  <c r="K37" i="5" s="1"/>
  <c r="J38" i="1" s="1"/>
  <c r="AB38" i="1" s="1"/>
  <c r="O44" i="21"/>
  <c r="K41" i="5"/>
  <c r="J42" i="1" s="1"/>
  <c r="AB42" i="1" s="1"/>
  <c r="O47" i="21"/>
  <c r="K44" i="5" s="1"/>
  <c r="J45" i="1" s="1"/>
  <c r="O50" i="21"/>
  <c r="K47" i="5"/>
  <c r="J48" i="1" s="1"/>
  <c r="AB48" i="1" s="1"/>
  <c r="O51" i="21"/>
  <c r="K48" i="5" s="1"/>
  <c r="J49" i="1" s="1"/>
  <c r="AB49" i="1" s="1"/>
  <c r="O25" i="21"/>
  <c r="K22" i="5"/>
  <c r="J23" i="1" s="1"/>
  <c r="AB23" i="1" s="1"/>
  <c r="O23" i="21"/>
  <c r="K20" i="5" s="1"/>
  <c r="J21" i="1" s="1"/>
  <c r="AB21" i="1" s="1"/>
  <c r="O33" i="21"/>
  <c r="K30" i="5"/>
  <c r="J31" i="1" s="1"/>
  <c r="AB31" i="1" s="1"/>
  <c r="K49" i="5"/>
  <c r="J50" i="1" s="1"/>
  <c r="AB50" i="1" s="1"/>
  <c r="K43" i="5"/>
  <c r="J44" i="1" s="1"/>
  <c r="AB44" i="1" s="1"/>
  <c r="K42" i="5"/>
  <c r="J43" i="1" s="1"/>
  <c r="AB43" i="1" s="1"/>
  <c r="K36" i="5"/>
  <c r="J37" i="1" s="1"/>
  <c r="AB37" i="1" s="1"/>
  <c r="K34" i="5"/>
  <c r="J35" i="1" s="1"/>
  <c r="AB35" i="1" s="1"/>
  <c r="K32" i="5"/>
  <c r="J33" i="1" s="1"/>
  <c r="AB33" i="1" s="1"/>
  <c r="K28" i="5"/>
  <c r="J29" i="1" s="1"/>
  <c r="K27" i="5"/>
  <c r="J28" i="1" s="1"/>
  <c r="AB28" i="1" s="1"/>
  <c r="K24" i="5"/>
  <c r="J25" i="1" s="1"/>
  <c r="K23" i="5"/>
  <c r="J24" i="1" s="1"/>
  <c r="L19" i="5"/>
  <c r="K19" i="5"/>
  <c r="K17" i="5"/>
  <c r="J18" i="1" s="1"/>
  <c r="AB18" i="1" s="1"/>
  <c r="K5" i="5"/>
  <c r="J6" i="1" s="1"/>
  <c r="L3" i="5"/>
  <c r="K3" i="5"/>
  <c r="G18" i="24"/>
  <c r="G54" i="24" s="1"/>
  <c r="G52" i="24"/>
  <c r="F18" i="24"/>
  <c r="F52" i="24"/>
  <c r="F54" i="24"/>
  <c r="P55" i="21"/>
  <c r="P21" i="21"/>
  <c r="P57" i="21"/>
  <c r="V55" i="21"/>
  <c r="V21" i="21"/>
  <c r="AC55" i="21"/>
  <c r="AC21" i="21"/>
  <c r="AC57" i="21"/>
  <c r="AH55" i="21"/>
  <c r="AH21" i="21"/>
  <c r="AH57" i="21"/>
  <c r="AO55" i="21"/>
  <c r="AO57" i="21" s="1"/>
  <c r="AO21" i="21"/>
  <c r="O8" i="21"/>
  <c r="O10" i="21"/>
  <c r="K7" i="5" s="1"/>
  <c r="J8" i="1" s="1"/>
  <c r="O11" i="21"/>
  <c r="K8" i="5" s="1"/>
  <c r="J9" i="1" s="1"/>
  <c r="O12" i="21"/>
  <c r="K9" i="5" s="1"/>
  <c r="J10" i="1" s="1"/>
  <c r="O15" i="21"/>
  <c r="K12" i="5" s="1"/>
  <c r="J13" i="1" s="1"/>
  <c r="O16" i="21"/>
  <c r="K13" i="5" s="1"/>
  <c r="J14" i="1" s="1"/>
  <c r="O19" i="21"/>
  <c r="K16" i="5" s="1"/>
  <c r="J17" i="1" s="1"/>
  <c r="O20" i="21"/>
  <c r="O24" i="21"/>
  <c r="K21" i="5" s="1"/>
  <c r="J22" i="1" s="1"/>
  <c r="AB22" i="1" s="1"/>
  <c r="O26" i="21"/>
  <c r="O27" i="21"/>
  <c r="O28" i="21"/>
  <c r="K25" i="5" s="1"/>
  <c r="J26" i="1" s="1"/>
  <c r="AB26" i="1" s="1"/>
  <c r="O29" i="21"/>
  <c r="K26" i="5" s="1"/>
  <c r="J27" i="1" s="1"/>
  <c r="AB27" i="1" s="1"/>
  <c r="O30" i="21"/>
  <c r="O31" i="21"/>
  <c r="O32" i="21"/>
  <c r="K29" i="5" s="1"/>
  <c r="J30" i="1" s="1"/>
  <c r="AB30" i="1" s="1"/>
  <c r="O34" i="21"/>
  <c r="K31" i="5" s="1"/>
  <c r="J32" i="1" s="1"/>
  <c r="AB32" i="1" s="1"/>
  <c r="O35" i="21"/>
  <c r="O36" i="21"/>
  <c r="K33" i="5" s="1"/>
  <c r="J34" i="1" s="1"/>
  <c r="AB34" i="1" s="1"/>
  <c r="O37" i="21"/>
  <c r="O38" i="21"/>
  <c r="K35" i="5" s="1"/>
  <c r="J36" i="1" s="1"/>
  <c r="AB36" i="1" s="1"/>
  <c r="O39" i="21"/>
  <c r="O41" i="21"/>
  <c r="K38" i="5" s="1"/>
  <c r="J39" i="1" s="1"/>
  <c r="AB39" i="1" s="1"/>
  <c r="O42" i="21"/>
  <c r="K39" i="5" s="1"/>
  <c r="J40" i="1" s="1"/>
  <c r="AB40" i="1" s="1"/>
  <c r="O43" i="21"/>
  <c r="K40" i="5" s="1"/>
  <c r="J41" i="1" s="1"/>
  <c r="AB41" i="1" s="1"/>
  <c r="O45" i="21"/>
  <c r="O46" i="21"/>
  <c r="O48" i="21"/>
  <c r="K45" i="5" s="1"/>
  <c r="J46" i="1" s="1"/>
  <c r="AB46" i="1" s="1"/>
  <c r="O49" i="21"/>
  <c r="K46" i="5" s="1"/>
  <c r="J47" i="1" s="1"/>
  <c r="AB47" i="1" s="1"/>
  <c r="O52" i="21"/>
  <c r="O53" i="21"/>
  <c r="K50" i="5" s="1"/>
  <c r="J51" i="1" s="1"/>
  <c r="O54" i="21"/>
  <c r="K51" i="5" s="1"/>
  <c r="J52" i="1" s="1"/>
  <c r="AB52" i="1" s="1"/>
  <c r="O55" i="21"/>
  <c r="AN55" i="21"/>
  <c r="AG21" i="21"/>
  <c r="AG57" i="21" s="1"/>
  <c r="AG55" i="21"/>
  <c r="L59" i="10"/>
  <c r="K59" i="10"/>
  <c r="L18" i="10"/>
  <c r="L52" i="10"/>
  <c r="L54" i="10"/>
  <c r="K18" i="10"/>
  <c r="K54" i="10" s="1"/>
  <c r="K52" i="10"/>
  <c r="L18" i="9"/>
  <c r="L52" i="9"/>
  <c r="K18" i="9"/>
  <c r="K52" i="9"/>
  <c r="T9" i="21"/>
  <c r="J31" i="6"/>
  <c r="E58" i="1"/>
  <c r="H58" i="1"/>
  <c r="K58" i="1"/>
  <c r="N58" i="1"/>
  <c r="Q58" i="1"/>
  <c r="T58" i="1"/>
  <c r="T60" i="1" s="1"/>
  <c r="J59" i="2"/>
  <c r="K9" i="21"/>
  <c r="H6" i="5" s="1"/>
  <c r="K10" i="21"/>
  <c r="S14" i="21"/>
  <c r="AE14" i="21"/>
  <c r="K14" i="21"/>
  <c r="H11" i="5" s="1"/>
  <c r="H4" i="2"/>
  <c r="U5" i="1" s="1"/>
  <c r="AE18" i="21"/>
  <c r="X51" i="21"/>
  <c r="K51" i="21" s="1"/>
  <c r="H48" i="5" s="1"/>
  <c r="Y18" i="21"/>
  <c r="H16" i="2"/>
  <c r="H14" i="2"/>
  <c r="U15" i="1" s="1"/>
  <c r="I18" i="4"/>
  <c r="I54" i="4" s="1"/>
  <c r="I61" i="4" s="1"/>
  <c r="I52" i="4"/>
  <c r="J52" i="4"/>
  <c r="J54" i="4" s="1"/>
  <c r="J61" i="4" s="1"/>
  <c r="J15" i="9"/>
  <c r="S16" i="21"/>
  <c r="S18" i="21"/>
  <c r="S50" i="21"/>
  <c r="M7" i="21"/>
  <c r="M8" i="21"/>
  <c r="M9" i="21"/>
  <c r="M10" i="21"/>
  <c r="M11" i="21"/>
  <c r="I8" i="5" s="1"/>
  <c r="I9" i="1" s="1"/>
  <c r="M12" i="21"/>
  <c r="M13" i="21"/>
  <c r="W14" i="21"/>
  <c r="M14" i="21" s="1"/>
  <c r="I11" i="5" s="1"/>
  <c r="I12" i="1" s="1"/>
  <c r="AL14" i="21"/>
  <c r="AL21" i="21" s="1"/>
  <c r="M15" i="21"/>
  <c r="M16" i="21"/>
  <c r="M17" i="21"/>
  <c r="I14" i="5" s="1"/>
  <c r="I15" i="1" s="1"/>
  <c r="W18" i="21"/>
  <c r="M18" i="21"/>
  <c r="M19" i="21"/>
  <c r="M20" i="21"/>
  <c r="I17" i="5" s="1"/>
  <c r="I18" i="1" s="1"/>
  <c r="M23" i="21"/>
  <c r="M24" i="21"/>
  <c r="M25" i="21"/>
  <c r="I22" i="5" s="1"/>
  <c r="I23" i="1" s="1"/>
  <c r="M26" i="21"/>
  <c r="M27" i="21"/>
  <c r="M28" i="21"/>
  <c r="M29" i="21"/>
  <c r="M30" i="21"/>
  <c r="M31" i="21"/>
  <c r="M32" i="21"/>
  <c r="M33" i="21"/>
  <c r="M34" i="21"/>
  <c r="M35" i="21"/>
  <c r="M36" i="21"/>
  <c r="M37" i="21"/>
  <c r="I34" i="5" s="1"/>
  <c r="I35" i="1" s="1"/>
  <c r="M38" i="21"/>
  <c r="M39" i="21"/>
  <c r="M40" i="21"/>
  <c r="M41" i="21"/>
  <c r="M42" i="21"/>
  <c r="M43" i="21"/>
  <c r="M44" i="21"/>
  <c r="M45" i="21"/>
  <c r="AL46" i="21"/>
  <c r="M46" i="21"/>
  <c r="M47" i="21"/>
  <c r="M48" i="21"/>
  <c r="M49" i="21"/>
  <c r="R50" i="21"/>
  <c r="W50" i="21"/>
  <c r="AL50" i="21"/>
  <c r="W51" i="21"/>
  <c r="AL51" i="21"/>
  <c r="M51" i="21"/>
  <c r="I48" i="5" s="1"/>
  <c r="I49" i="1" s="1"/>
  <c r="M52" i="21"/>
  <c r="M53" i="21"/>
  <c r="M54" i="21"/>
  <c r="AK21" i="21"/>
  <c r="H6" i="9"/>
  <c r="H45" i="7"/>
  <c r="H45" i="6"/>
  <c r="H26" i="6"/>
  <c r="H40" i="3"/>
  <c r="H32" i="3"/>
  <c r="H45" i="2"/>
  <c r="U46" i="1" s="1"/>
  <c r="H26" i="2"/>
  <c r="U27" i="1" s="1"/>
  <c r="H32" i="2"/>
  <c r="H23" i="2"/>
  <c r="H23" i="7"/>
  <c r="H23" i="6"/>
  <c r="H18" i="3"/>
  <c r="S66" i="21"/>
  <c r="S51" i="21"/>
  <c r="R60" i="1"/>
  <c r="D59" i="24"/>
  <c r="D52" i="24"/>
  <c r="D18" i="24"/>
  <c r="D54" i="24"/>
  <c r="D61" i="24"/>
  <c r="R53" i="1"/>
  <c r="R19" i="1"/>
  <c r="R55" i="1" s="1"/>
  <c r="J52" i="2"/>
  <c r="J18" i="2"/>
  <c r="J54" i="2" s="1"/>
  <c r="J61" i="2" s="1"/>
  <c r="S58" i="1"/>
  <c r="S60" i="1"/>
  <c r="S53" i="1"/>
  <c r="S19" i="1"/>
  <c r="E59" i="24"/>
  <c r="F59" i="24"/>
  <c r="E52" i="24"/>
  <c r="E18" i="24"/>
  <c r="E54" i="24"/>
  <c r="E61" i="24"/>
  <c r="J13" i="9"/>
  <c r="T19" i="1"/>
  <c r="T53" i="1"/>
  <c r="T18" i="21"/>
  <c r="T14" i="21"/>
  <c r="N14" i="21" s="1"/>
  <c r="J11" i="5" s="1"/>
  <c r="AA12" i="1" s="1"/>
  <c r="AM46" i="21"/>
  <c r="AM55" i="21" s="1"/>
  <c r="AM57" i="21" s="1"/>
  <c r="J59" i="7"/>
  <c r="J52" i="7"/>
  <c r="J54" i="7" s="1"/>
  <c r="J18" i="7"/>
  <c r="J59" i="6"/>
  <c r="J52" i="6"/>
  <c r="J18" i="6"/>
  <c r="J54" i="6" s="1"/>
  <c r="J61" i="6" s="1"/>
  <c r="J52" i="3"/>
  <c r="J18" i="3"/>
  <c r="J54" i="3" s="1"/>
  <c r="J61" i="3" s="1"/>
  <c r="N24" i="21"/>
  <c r="J21" i="5"/>
  <c r="AA22" i="1" s="1"/>
  <c r="N26" i="21"/>
  <c r="J23" i="5"/>
  <c r="AA24" i="1" s="1"/>
  <c r="N27" i="21"/>
  <c r="J24" i="5"/>
  <c r="N28" i="21"/>
  <c r="J25" i="5"/>
  <c r="AA26" i="1" s="1"/>
  <c r="AE26" i="1" s="1"/>
  <c r="N29" i="21"/>
  <c r="J26" i="5"/>
  <c r="AA27" i="1" s="1"/>
  <c r="N30" i="21"/>
  <c r="J27" i="5"/>
  <c r="AA28" i="1" s="1"/>
  <c r="AE28" i="1" s="1"/>
  <c r="N31" i="21"/>
  <c r="J28" i="5"/>
  <c r="AA29" i="1" s="1"/>
  <c r="N32" i="21"/>
  <c r="J29" i="5"/>
  <c r="AA30" i="1" s="1"/>
  <c r="AE30" i="1" s="1"/>
  <c r="N34" i="21"/>
  <c r="J31" i="5"/>
  <c r="AA32" i="1" s="1"/>
  <c r="AE32" i="1" s="1"/>
  <c r="N35" i="21"/>
  <c r="J32" i="5"/>
  <c r="AA33" i="1" s="1"/>
  <c r="AE33" i="1" s="1"/>
  <c r="N36" i="21"/>
  <c r="J33" i="5"/>
  <c r="AA34" i="1" s="1"/>
  <c r="N37" i="21"/>
  <c r="J34" i="5"/>
  <c r="AA35" i="1" s="1"/>
  <c r="AE35" i="1" s="1"/>
  <c r="N38" i="21"/>
  <c r="J35" i="5"/>
  <c r="N39" i="21"/>
  <c r="J36" i="5"/>
  <c r="AA37" i="1" s="1"/>
  <c r="AE37" i="1" s="1"/>
  <c r="N41" i="21"/>
  <c r="J38" i="5"/>
  <c r="AA39" i="1" s="1"/>
  <c r="N42" i="21"/>
  <c r="J39" i="5"/>
  <c r="AA40" i="1" s="1"/>
  <c r="AE40" i="1" s="1"/>
  <c r="N43" i="21"/>
  <c r="J40" i="5"/>
  <c r="AA41" i="1" s="1"/>
  <c r="N45" i="21"/>
  <c r="J42" i="5"/>
  <c r="AA43" i="1" s="1"/>
  <c r="N52" i="21"/>
  <c r="J49" i="5"/>
  <c r="AA50" i="1" s="1"/>
  <c r="N54" i="21"/>
  <c r="J51" i="5"/>
  <c r="AA52" i="1" s="1"/>
  <c r="AE52" i="1" s="1"/>
  <c r="N8" i="21"/>
  <c r="J5" i="5"/>
  <c r="AA6" i="1" s="1"/>
  <c r="N10" i="21"/>
  <c r="J7" i="5"/>
  <c r="AA8" i="1" s="1"/>
  <c r="N11" i="21"/>
  <c r="J8" i="5"/>
  <c r="AA9" i="1" s="1"/>
  <c r="N12" i="21"/>
  <c r="J9" i="5"/>
  <c r="AA10" i="1" s="1"/>
  <c r="N13" i="21"/>
  <c r="J10" i="5"/>
  <c r="AA11" i="1" s="1"/>
  <c r="N15" i="21"/>
  <c r="J12" i="5"/>
  <c r="AA13" i="1" s="1"/>
  <c r="N19" i="21"/>
  <c r="J16" i="5"/>
  <c r="AA17" i="1" s="1"/>
  <c r="N20" i="21"/>
  <c r="J17" i="5"/>
  <c r="AA18" i="1" s="1"/>
  <c r="N7" i="21"/>
  <c r="J4" i="5"/>
  <c r="J18" i="10"/>
  <c r="J59" i="10"/>
  <c r="J52" i="10"/>
  <c r="J54" i="10"/>
  <c r="J52" i="9"/>
  <c r="Q64" i="21"/>
  <c r="N62" i="21"/>
  <c r="N25" i="21"/>
  <c r="N33" i="21"/>
  <c r="J30" i="5" s="1"/>
  <c r="AA31" i="1" s="1"/>
  <c r="AE31" i="1" s="1"/>
  <c r="N40" i="21"/>
  <c r="J37" i="5" s="1"/>
  <c r="AA38" i="1" s="1"/>
  <c r="AE38" i="1" s="1"/>
  <c r="N44" i="21"/>
  <c r="J41" i="5" s="1"/>
  <c r="AA42" i="1" s="1"/>
  <c r="N47" i="21"/>
  <c r="J44" i="5" s="1"/>
  <c r="AA45" i="1" s="1"/>
  <c r="N48" i="21"/>
  <c r="J45" i="5" s="1"/>
  <c r="AA46" i="1" s="1"/>
  <c r="AE46" i="1" s="1"/>
  <c r="N49" i="21"/>
  <c r="J46" i="5" s="1"/>
  <c r="AA47" i="1" s="1"/>
  <c r="AE47" i="1" s="1"/>
  <c r="N50" i="21"/>
  <c r="J47" i="5" s="1"/>
  <c r="AA48" i="1" s="1"/>
  <c r="N51" i="21"/>
  <c r="J48" i="5" s="1"/>
  <c r="AA49" i="1" s="1"/>
  <c r="N53" i="21"/>
  <c r="J50" i="5" s="1"/>
  <c r="AA51" i="1" s="1"/>
  <c r="N23" i="21"/>
  <c r="J20" i="5" s="1"/>
  <c r="N16" i="21"/>
  <c r="J13" i="5"/>
  <c r="N17" i="21"/>
  <c r="J14" i="5"/>
  <c r="AA15" i="1" s="1"/>
  <c r="N18" i="21"/>
  <c r="J15" i="5"/>
  <c r="T55" i="21"/>
  <c r="U55" i="21"/>
  <c r="R21" i="21"/>
  <c r="R55" i="21"/>
  <c r="Z21" i="21"/>
  <c r="Z57" i="21" s="1"/>
  <c r="Z64" i="21" s="1"/>
  <c r="Z55" i="21"/>
  <c r="AB21" i="21"/>
  <c r="AB57" i="21" s="1"/>
  <c r="AB64" i="21" s="1"/>
  <c r="W21" i="21"/>
  <c r="W55" i="21"/>
  <c r="W57" i="21"/>
  <c r="W64" i="21" s="1"/>
  <c r="AD21" i="21"/>
  <c r="AD55" i="21"/>
  <c r="AD57" i="21"/>
  <c r="AD64" i="21" s="1"/>
  <c r="AK62" i="21"/>
  <c r="AE62" i="21"/>
  <c r="AF62" i="21"/>
  <c r="AA62" i="21"/>
  <c r="AB62" i="21"/>
  <c r="AF55" i="21"/>
  <c r="AF57" i="21" s="1"/>
  <c r="AA55" i="21"/>
  <c r="AA21" i="21"/>
  <c r="AA57" i="21" s="1"/>
  <c r="AA64" i="21"/>
  <c r="AF21" i="21"/>
  <c r="AM21" i="21"/>
  <c r="X21" i="21"/>
  <c r="X55" i="21"/>
  <c r="X57" i="21" s="1"/>
  <c r="X64" i="21" s="1"/>
  <c r="W62" i="21"/>
  <c r="X62" i="21"/>
  <c r="J61" i="7"/>
  <c r="AM64" i="21"/>
  <c r="AF64" i="21"/>
  <c r="AE50" i="21"/>
  <c r="H31" i="7"/>
  <c r="U32" i="1" s="1"/>
  <c r="H17" i="2"/>
  <c r="U18" i="1" s="1"/>
  <c r="K18" i="21"/>
  <c r="H15" i="5" s="1"/>
  <c r="K17" i="21"/>
  <c r="Z66" i="1"/>
  <c r="K7" i="21"/>
  <c r="H4" i="5" s="1"/>
  <c r="K8" i="21"/>
  <c r="H5" i="5" s="1"/>
  <c r="K11" i="21"/>
  <c r="K12" i="21"/>
  <c r="H9" i="5" s="1"/>
  <c r="K13" i="21"/>
  <c r="K19" i="21"/>
  <c r="H16" i="5" s="1"/>
  <c r="K20" i="21"/>
  <c r="K23" i="21"/>
  <c r="K55" i="21" s="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9" i="21"/>
  <c r="K50" i="21"/>
  <c r="H47" i="5" s="1"/>
  <c r="K52" i="21"/>
  <c r="K53" i="21"/>
  <c r="K54" i="21"/>
  <c r="H51" i="5" s="1"/>
  <c r="K48" i="21"/>
  <c r="S55" i="21"/>
  <c r="H18" i="2"/>
  <c r="AE21" i="21"/>
  <c r="H18" i="7"/>
  <c r="H54" i="7" s="1"/>
  <c r="H61" i="7" s="1"/>
  <c r="H18" i="6"/>
  <c r="H59" i="2"/>
  <c r="H52" i="10"/>
  <c r="H54" i="10" s="1"/>
  <c r="H61" i="10" s="1"/>
  <c r="H18" i="10"/>
  <c r="H52" i="9"/>
  <c r="H52" i="7"/>
  <c r="H52" i="6"/>
  <c r="H59" i="4"/>
  <c r="H52" i="4"/>
  <c r="H54" i="4"/>
  <c r="AK55" i="21"/>
  <c r="AK57" i="21" s="1"/>
  <c r="AE55" i="21"/>
  <c r="AE57" i="21"/>
  <c r="AE64" i="21" s="1"/>
  <c r="H59" i="3"/>
  <c r="H54" i="6"/>
  <c r="H61" i="6"/>
  <c r="AK64" i="21"/>
  <c r="H59" i="10"/>
  <c r="I59" i="10"/>
  <c r="L58" i="1"/>
  <c r="M58" i="1"/>
  <c r="U58" i="1"/>
  <c r="Y62" i="21"/>
  <c r="Z62" i="21"/>
  <c r="Y55" i="21"/>
  <c r="Y21" i="21"/>
  <c r="Y57" i="21" s="1"/>
  <c r="Y64" i="21" s="1"/>
  <c r="AD62" i="21"/>
  <c r="G58" i="1"/>
  <c r="H58" i="5"/>
  <c r="H57" i="5"/>
  <c r="J58" i="1" s="1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9" i="5"/>
  <c r="H50" i="5"/>
  <c r="H20" i="5"/>
  <c r="H7" i="5"/>
  <c r="H8" i="5"/>
  <c r="H10" i="5"/>
  <c r="H12" i="5"/>
  <c r="H14" i="5"/>
  <c r="H17" i="5"/>
  <c r="H59" i="5"/>
  <c r="AP50" i="21"/>
  <c r="I59" i="5"/>
  <c r="I5" i="5"/>
  <c r="I6" i="1" s="1"/>
  <c r="E19" i="1"/>
  <c r="F4" i="1"/>
  <c r="G4" i="1"/>
  <c r="I21" i="5"/>
  <c r="I22" i="1" s="1"/>
  <c r="I20" i="5"/>
  <c r="I21" i="1" s="1"/>
  <c r="I7" i="5"/>
  <c r="I8" i="1" s="1"/>
  <c r="I9" i="5"/>
  <c r="I10" i="1" s="1"/>
  <c r="I10" i="5"/>
  <c r="I11" i="1" s="1"/>
  <c r="I12" i="5"/>
  <c r="I13" i="1" s="1"/>
  <c r="I13" i="5"/>
  <c r="I14" i="1" s="1"/>
  <c r="I15" i="5"/>
  <c r="I16" i="1" s="1"/>
  <c r="I16" i="5"/>
  <c r="I6" i="5"/>
  <c r="I7" i="1" s="1"/>
  <c r="M62" i="21"/>
  <c r="D19" i="1"/>
  <c r="O11" i="10"/>
  <c r="AL55" i="21"/>
  <c r="I59" i="7"/>
  <c r="I59" i="6"/>
  <c r="I59" i="3"/>
  <c r="I59" i="2"/>
  <c r="I52" i="2"/>
  <c r="I18" i="2"/>
  <c r="I54" i="2" s="1"/>
  <c r="I61" i="2" s="1"/>
  <c r="F45" i="2"/>
  <c r="F10" i="2"/>
  <c r="G37" i="20"/>
  <c r="G24" i="20"/>
  <c r="G27" i="20" s="1"/>
  <c r="F8" i="7"/>
  <c r="F27" i="3"/>
  <c r="I52" i="7"/>
  <c r="I18" i="7"/>
  <c r="I54" i="7" s="1"/>
  <c r="I61" i="7" s="1"/>
  <c r="I52" i="6"/>
  <c r="I18" i="6"/>
  <c r="I52" i="3"/>
  <c r="I18" i="3"/>
  <c r="I54" i="3" s="1"/>
  <c r="I52" i="11"/>
  <c r="I18" i="11"/>
  <c r="I11" i="10"/>
  <c r="I18" i="10"/>
  <c r="I54" i="10" s="1"/>
  <c r="I61" i="10" s="1"/>
  <c r="I52" i="10"/>
  <c r="N48" i="9"/>
  <c r="N47" i="9"/>
  <c r="N46" i="9"/>
  <c r="I52" i="9"/>
  <c r="I18" i="9"/>
  <c r="I54" i="9" s="1"/>
  <c r="I61" i="9" s="1"/>
  <c r="I54" i="6"/>
  <c r="I61" i="6"/>
  <c r="I61" i="3"/>
  <c r="I54" i="11"/>
  <c r="AI62" i="21"/>
  <c r="AI50" i="21"/>
  <c r="AI46" i="21"/>
  <c r="AI55" i="21" s="1"/>
  <c r="AI22" i="21"/>
  <c r="AI14" i="21"/>
  <c r="AI21" i="21"/>
  <c r="E18" i="7"/>
  <c r="E54" i="7" s="1"/>
  <c r="E28" i="7"/>
  <c r="E59" i="7"/>
  <c r="E18" i="6"/>
  <c r="E52" i="6"/>
  <c r="E54" i="6" s="1"/>
  <c r="E59" i="6"/>
  <c r="E18" i="3"/>
  <c r="E40" i="3"/>
  <c r="E52" i="3" s="1"/>
  <c r="E54" i="3" s="1"/>
  <c r="E61" i="3" s="1"/>
  <c r="E51" i="3"/>
  <c r="E59" i="3"/>
  <c r="E34" i="2"/>
  <c r="E35" i="2"/>
  <c r="E37" i="2"/>
  <c r="E45" i="2"/>
  <c r="E18" i="11"/>
  <c r="E52" i="4"/>
  <c r="E59" i="4"/>
  <c r="E6" i="4"/>
  <c r="F18" i="4"/>
  <c r="F54" i="4" s="1"/>
  <c r="F61" i="4" s="1"/>
  <c r="F52" i="4"/>
  <c r="F59" i="4"/>
  <c r="E21" i="5"/>
  <c r="E22" i="5"/>
  <c r="E23" i="5"/>
  <c r="E24" i="5"/>
  <c r="Y25" i="1" s="1"/>
  <c r="E25" i="5"/>
  <c r="E26" i="5"/>
  <c r="E27" i="5"/>
  <c r="E28" i="5"/>
  <c r="Y29" i="1" s="1"/>
  <c r="E29" i="5"/>
  <c r="E30" i="5"/>
  <c r="E31" i="5"/>
  <c r="E32" i="5"/>
  <c r="Y33" i="1" s="1"/>
  <c r="E33" i="5"/>
  <c r="E34" i="5"/>
  <c r="E35" i="5"/>
  <c r="E36" i="5"/>
  <c r="Y37" i="1" s="1"/>
  <c r="E37" i="5"/>
  <c r="E38" i="5"/>
  <c r="E39" i="5"/>
  <c r="E40" i="5"/>
  <c r="Y41" i="1" s="1"/>
  <c r="E41" i="5"/>
  <c r="E42" i="5"/>
  <c r="E43" i="5"/>
  <c r="E44" i="5"/>
  <c r="Y45" i="1" s="1"/>
  <c r="E45" i="5"/>
  <c r="E46" i="5"/>
  <c r="E47" i="5"/>
  <c r="E48" i="5"/>
  <c r="E49" i="5"/>
  <c r="E50" i="5"/>
  <c r="E51" i="5"/>
  <c r="E20" i="5"/>
  <c r="E52" i="5" s="1"/>
  <c r="E5" i="5"/>
  <c r="E6" i="5"/>
  <c r="E7" i="5"/>
  <c r="E8" i="5"/>
  <c r="E9" i="5"/>
  <c r="E10" i="5"/>
  <c r="E11" i="5"/>
  <c r="E12" i="5"/>
  <c r="Y13" i="1" s="1"/>
  <c r="E13" i="5"/>
  <c r="E14" i="5"/>
  <c r="E15" i="5"/>
  <c r="E16" i="5"/>
  <c r="Y17" i="1" s="1"/>
  <c r="E17" i="5"/>
  <c r="E4" i="5"/>
  <c r="I23" i="21"/>
  <c r="I7" i="21"/>
  <c r="D18" i="21"/>
  <c r="D21" i="21"/>
  <c r="D25" i="21"/>
  <c r="D33" i="21"/>
  <c r="D40" i="21"/>
  <c r="D50" i="21"/>
  <c r="D51" i="21"/>
  <c r="D52" i="21"/>
  <c r="D60" i="21"/>
  <c r="D62" i="21"/>
  <c r="E59" i="5"/>
  <c r="E18" i="10"/>
  <c r="E54" i="10" s="1"/>
  <c r="E61" i="10" s="1"/>
  <c r="E52" i="10"/>
  <c r="E59" i="10"/>
  <c r="E15" i="9"/>
  <c r="E18" i="9" s="1"/>
  <c r="E54" i="9" s="1"/>
  <c r="E61" i="9" s="1"/>
  <c r="E52" i="9"/>
  <c r="E59" i="9"/>
  <c r="E52" i="7"/>
  <c r="E61" i="6"/>
  <c r="E18" i="4"/>
  <c r="E54" i="4" s="1"/>
  <c r="E61" i="4" s="1"/>
  <c r="AI57" i="21"/>
  <c r="AI64" i="21" s="1"/>
  <c r="E61" i="7"/>
  <c r="G51" i="3"/>
  <c r="G52" i="3" s="1"/>
  <c r="G12" i="2"/>
  <c r="F58" i="1"/>
  <c r="V4" i="1"/>
  <c r="U4" i="1"/>
  <c r="M4" i="1"/>
  <c r="L4" i="1"/>
  <c r="J4" i="1"/>
  <c r="I4" i="1"/>
  <c r="C58" i="1"/>
  <c r="F13" i="5"/>
  <c r="X14" i="1" s="1"/>
  <c r="E59" i="2"/>
  <c r="E18" i="2"/>
  <c r="F58" i="5"/>
  <c r="F59" i="5" s="1"/>
  <c r="F21" i="5"/>
  <c r="X22" i="1" s="1"/>
  <c r="F22" i="5"/>
  <c r="X23" i="1" s="1"/>
  <c r="F23" i="5"/>
  <c r="X24" i="1" s="1"/>
  <c r="F24" i="5"/>
  <c r="X25" i="1" s="1"/>
  <c r="F25" i="5"/>
  <c r="X26" i="1" s="1"/>
  <c r="F26" i="5"/>
  <c r="F27" i="5"/>
  <c r="X28" i="1" s="1"/>
  <c r="F28" i="5"/>
  <c r="X29" i="1" s="1"/>
  <c r="F29" i="5"/>
  <c r="X30" i="1" s="1"/>
  <c r="F31" i="5"/>
  <c r="X32" i="1" s="1"/>
  <c r="F32" i="5"/>
  <c r="X33" i="1" s="1"/>
  <c r="F33" i="5"/>
  <c r="X34" i="1" s="1"/>
  <c r="F34" i="5"/>
  <c r="X35" i="1" s="1"/>
  <c r="F35" i="5"/>
  <c r="X36" i="1" s="1"/>
  <c r="F36" i="5"/>
  <c r="X37" i="1" s="1"/>
  <c r="F37" i="5"/>
  <c r="X38" i="1" s="1"/>
  <c r="F38" i="5"/>
  <c r="X39" i="1" s="1"/>
  <c r="F39" i="5"/>
  <c r="X40" i="1" s="1"/>
  <c r="F40" i="5"/>
  <c r="X41" i="1" s="1"/>
  <c r="F41" i="5"/>
  <c r="X42" i="1" s="1"/>
  <c r="F42" i="5"/>
  <c r="F43" i="5"/>
  <c r="X44" i="1" s="1"/>
  <c r="F44" i="5"/>
  <c r="X45" i="1" s="1"/>
  <c r="F45" i="5"/>
  <c r="X46" i="1" s="1"/>
  <c r="F46" i="5"/>
  <c r="X47" i="1" s="1"/>
  <c r="F47" i="5"/>
  <c r="X48" i="1" s="1"/>
  <c r="F48" i="5"/>
  <c r="X49" i="1" s="1"/>
  <c r="F49" i="5"/>
  <c r="X50" i="1" s="1"/>
  <c r="F50" i="5"/>
  <c r="X51" i="1" s="1"/>
  <c r="F51" i="5"/>
  <c r="X52" i="1" s="1"/>
  <c r="G23" i="21"/>
  <c r="F5" i="5"/>
  <c r="F7" i="5"/>
  <c r="X8" i="1" s="1"/>
  <c r="F8" i="5"/>
  <c r="F9" i="5"/>
  <c r="X10" i="1" s="1"/>
  <c r="F10" i="5"/>
  <c r="X11" i="1" s="1"/>
  <c r="F11" i="5"/>
  <c r="X12" i="1" s="1"/>
  <c r="F12" i="5"/>
  <c r="X13" i="1" s="1"/>
  <c r="F14" i="5"/>
  <c r="X15" i="1" s="1"/>
  <c r="F16" i="5"/>
  <c r="X17" i="1" s="1"/>
  <c r="F17" i="5"/>
  <c r="X18" i="1" s="1"/>
  <c r="G7" i="21"/>
  <c r="F30" i="5"/>
  <c r="X31" i="1" s="1"/>
  <c r="F20" i="5"/>
  <c r="X21" i="1" s="1"/>
  <c r="X53" i="1" s="1"/>
  <c r="F4" i="5"/>
  <c r="X5" i="1" s="1"/>
  <c r="I58" i="1"/>
  <c r="F15" i="5"/>
  <c r="X16" i="1" s="1"/>
  <c r="I9" i="21"/>
  <c r="F9" i="21" s="1"/>
  <c r="Q62" i="21"/>
  <c r="AJ62" i="21"/>
  <c r="L62" i="21"/>
  <c r="F62" i="21"/>
  <c r="G62" i="21"/>
  <c r="H62" i="21"/>
  <c r="I62" i="21"/>
  <c r="J62" i="21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" i="5"/>
  <c r="G7" i="5"/>
  <c r="G8" i="5"/>
  <c r="G9" i="5"/>
  <c r="G10" i="5"/>
  <c r="G11" i="5"/>
  <c r="G12" i="5"/>
  <c r="G13" i="5"/>
  <c r="G14" i="5"/>
  <c r="G15" i="5"/>
  <c r="G16" i="5"/>
  <c r="G17" i="5"/>
  <c r="AJ21" i="21"/>
  <c r="AJ57" i="21" s="1"/>
  <c r="AJ64" i="21" s="1"/>
  <c r="AJ55" i="21"/>
  <c r="G6" i="5"/>
  <c r="H9" i="21"/>
  <c r="H23" i="21"/>
  <c r="H55" i="21" s="1"/>
  <c r="F23" i="21"/>
  <c r="G20" i="5"/>
  <c r="H7" i="21"/>
  <c r="G4" i="5"/>
  <c r="G9" i="21"/>
  <c r="F6" i="5"/>
  <c r="X7" i="1" s="1"/>
  <c r="L55" i="21"/>
  <c r="J21" i="21"/>
  <c r="J57" i="21" s="1"/>
  <c r="J64" i="21" s="1"/>
  <c r="L21" i="21"/>
  <c r="J55" i="21"/>
  <c r="F59" i="7"/>
  <c r="F52" i="7"/>
  <c r="F54" i="7" s="1"/>
  <c r="F61" i="7" s="1"/>
  <c r="F18" i="7"/>
  <c r="D59" i="7"/>
  <c r="D52" i="7"/>
  <c r="D18" i="7"/>
  <c r="D54" i="7" s="1"/>
  <c r="D61" i="7" s="1"/>
  <c r="F59" i="6"/>
  <c r="F52" i="6"/>
  <c r="F18" i="6"/>
  <c r="D59" i="6"/>
  <c r="D52" i="6"/>
  <c r="D18" i="6"/>
  <c r="D54" i="6" s="1"/>
  <c r="D61" i="6" s="1"/>
  <c r="F59" i="3"/>
  <c r="F52" i="3"/>
  <c r="F54" i="3" s="1"/>
  <c r="F61" i="3" s="1"/>
  <c r="F18" i="3"/>
  <c r="D59" i="3"/>
  <c r="D52" i="3"/>
  <c r="D18" i="3"/>
  <c r="D54" i="3" s="1"/>
  <c r="D61" i="3" s="1"/>
  <c r="F59" i="2"/>
  <c r="F52" i="2"/>
  <c r="F54" i="2" s="1"/>
  <c r="F61" i="2" s="1"/>
  <c r="F18" i="2"/>
  <c r="D57" i="2"/>
  <c r="D59" i="2"/>
  <c r="D49" i="2"/>
  <c r="D52" i="2" s="1"/>
  <c r="D54" i="2" s="1"/>
  <c r="D61" i="2" s="1"/>
  <c r="D15" i="2"/>
  <c r="D18" i="2"/>
  <c r="F59" i="11"/>
  <c r="F52" i="11"/>
  <c r="F18" i="11"/>
  <c r="D59" i="11"/>
  <c r="D52" i="11"/>
  <c r="D54" i="11" s="1"/>
  <c r="D61" i="11" s="1"/>
  <c r="D18" i="11"/>
  <c r="D59" i="4"/>
  <c r="D61" i="4" s="1"/>
  <c r="D52" i="4"/>
  <c r="D18" i="4"/>
  <c r="D57" i="5"/>
  <c r="D59" i="5" s="1"/>
  <c r="D49" i="5"/>
  <c r="D48" i="5"/>
  <c r="D47" i="5"/>
  <c r="D37" i="5"/>
  <c r="D30" i="5"/>
  <c r="D22" i="5"/>
  <c r="D52" i="5" s="1"/>
  <c r="D15" i="5"/>
  <c r="D18" i="5" s="1"/>
  <c r="F59" i="10"/>
  <c r="F52" i="10"/>
  <c r="F18" i="10"/>
  <c r="D54" i="4"/>
  <c r="F54" i="11"/>
  <c r="F61" i="11" s="1"/>
  <c r="F54" i="6"/>
  <c r="F61" i="6" s="1"/>
  <c r="L57" i="21"/>
  <c r="L64" i="21"/>
  <c r="F54" i="10"/>
  <c r="F61" i="10" s="1"/>
  <c r="Y6" i="1"/>
  <c r="Y7" i="1"/>
  <c r="Y8" i="1"/>
  <c r="Y9" i="1"/>
  <c r="Y10" i="1"/>
  <c r="Y12" i="1"/>
  <c r="Y15" i="1"/>
  <c r="Y18" i="1"/>
  <c r="G59" i="5"/>
  <c r="G52" i="5"/>
  <c r="H50" i="21"/>
  <c r="F55" i="21"/>
  <c r="G55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1" i="21"/>
  <c r="I52" i="21"/>
  <c r="I53" i="21"/>
  <c r="I54" i="21"/>
  <c r="G21" i="21"/>
  <c r="I10" i="21"/>
  <c r="I11" i="21"/>
  <c r="I12" i="21"/>
  <c r="I13" i="21"/>
  <c r="I14" i="21"/>
  <c r="I15" i="21"/>
  <c r="I16" i="21"/>
  <c r="I17" i="21"/>
  <c r="I19" i="21"/>
  <c r="I20" i="21"/>
  <c r="I8" i="21"/>
  <c r="H18" i="21"/>
  <c r="I18" i="21" s="1"/>
  <c r="H21" i="21"/>
  <c r="H57" i="21" s="1"/>
  <c r="H64" i="21" s="1"/>
  <c r="E62" i="21"/>
  <c r="E21" i="21"/>
  <c r="I50" i="21"/>
  <c r="G57" i="21"/>
  <c r="G64" i="21" s="1"/>
  <c r="I55" i="21"/>
  <c r="E55" i="21"/>
  <c r="E57" i="21"/>
  <c r="E64" i="21"/>
  <c r="G18" i="9"/>
  <c r="G54" i="9" s="1"/>
  <c r="G61" i="9" s="1"/>
  <c r="G59" i="9"/>
  <c r="G52" i="9"/>
  <c r="Y47" i="1"/>
  <c r="G59" i="10"/>
  <c r="G52" i="10"/>
  <c r="G18" i="10"/>
  <c r="G52" i="4"/>
  <c r="G18" i="4"/>
  <c r="G54" i="10"/>
  <c r="G61" i="10"/>
  <c r="Y11" i="1"/>
  <c r="E59" i="11"/>
  <c r="G59" i="11"/>
  <c r="G59" i="2"/>
  <c r="G59" i="3"/>
  <c r="G59" i="6"/>
  <c r="G59" i="7"/>
  <c r="F59" i="9"/>
  <c r="W59" i="1"/>
  <c r="V59" i="1"/>
  <c r="V60" i="1" s="1"/>
  <c r="U59" i="1"/>
  <c r="Q59" i="1"/>
  <c r="P59" i="1"/>
  <c r="P58" i="1"/>
  <c r="P60" i="1" s="1"/>
  <c r="O59" i="1"/>
  <c r="O58" i="1"/>
  <c r="N59" i="1"/>
  <c r="M59" i="1"/>
  <c r="M60" i="1" s="1"/>
  <c r="L59" i="1"/>
  <c r="L60" i="1" s="1"/>
  <c r="K59" i="1"/>
  <c r="K60" i="1" s="1"/>
  <c r="I59" i="1"/>
  <c r="H59" i="1"/>
  <c r="U19" i="1"/>
  <c r="W60" i="1"/>
  <c r="W53" i="1"/>
  <c r="W19" i="1"/>
  <c r="G59" i="1"/>
  <c r="F59" i="1"/>
  <c r="H19" i="1"/>
  <c r="M19" i="1"/>
  <c r="N19" i="1"/>
  <c r="O19" i="1"/>
  <c r="P19" i="1"/>
  <c r="Q19" i="1"/>
  <c r="E59" i="1"/>
  <c r="D59" i="1"/>
  <c r="H60" i="1"/>
  <c r="I60" i="1"/>
  <c r="N60" i="1"/>
  <c r="O60" i="1"/>
  <c r="H53" i="1"/>
  <c r="L53" i="1"/>
  <c r="M53" i="1"/>
  <c r="N53" i="1"/>
  <c r="P53" i="1"/>
  <c r="P55" i="1" s="1"/>
  <c r="P62" i="1" s="1"/>
  <c r="Q53" i="1"/>
  <c r="Q55" i="1" s="1"/>
  <c r="C59" i="1"/>
  <c r="Z59" i="1" s="1"/>
  <c r="F60" i="1"/>
  <c r="F19" i="1"/>
  <c r="C53" i="1"/>
  <c r="G19" i="1"/>
  <c r="G53" i="1"/>
  <c r="E53" i="1"/>
  <c r="D60" i="1"/>
  <c r="D53" i="1"/>
  <c r="D55" i="1" s="1"/>
  <c r="D62" i="1" s="1"/>
  <c r="Y59" i="1"/>
  <c r="Y60" i="1" s="1"/>
  <c r="Y21" i="1"/>
  <c r="Y22" i="1"/>
  <c r="Y24" i="1"/>
  <c r="Y26" i="1"/>
  <c r="Y27" i="1"/>
  <c r="Y28" i="1"/>
  <c r="Y30" i="1"/>
  <c r="Y31" i="1"/>
  <c r="Y32" i="1"/>
  <c r="Y34" i="1"/>
  <c r="Y35" i="1"/>
  <c r="Y36" i="1"/>
  <c r="Y39" i="1"/>
  <c r="Y40" i="1"/>
  <c r="Y42" i="1"/>
  <c r="Y43" i="1"/>
  <c r="Y44" i="1"/>
  <c r="Y46" i="1"/>
  <c r="Y48" i="1"/>
  <c r="Y49" i="1"/>
  <c r="Y50" i="1"/>
  <c r="Y51" i="1"/>
  <c r="Y52" i="1"/>
  <c r="Y23" i="1"/>
  <c r="Y5" i="1"/>
  <c r="Y58" i="1"/>
  <c r="E55" i="1"/>
  <c r="G55" i="1"/>
  <c r="Y16" i="1"/>
  <c r="Y14" i="1"/>
  <c r="G52" i="11"/>
  <c r="E52" i="11"/>
  <c r="G18" i="11"/>
  <c r="D59" i="10"/>
  <c r="D52" i="10"/>
  <c r="D18" i="10"/>
  <c r="D54" i="10" s="1"/>
  <c r="D59" i="9"/>
  <c r="F52" i="9"/>
  <c r="D52" i="9"/>
  <c r="F18" i="9"/>
  <c r="F54" i="9" s="1"/>
  <c r="F61" i="9" s="1"/>
  <c r="D18" i="9"/>
  <c r="G52" i="7"/>
  <c r="G18" i="7"/>
  <c r="G52" i="6"/>
  <c r="G54" i="6" s="1"/>
  <c r="G61" i="6" s="1"/>
  <c r="G18" i="6"/>
  <c r="G18" i="3"/>
  <c r="G52" i="2"/>
  <c r="G18" i="2"/>
  <c r="G54" i="11"/>
  <c r="G61" i="11" s="1"/>
  <c r="G54" i="7"/>
  <c r="G61" i="7"/>
  <c r="E54" i="11"/>
  <c r="E61" i="11" s="1"/>
  <c r="D61" i="10"/>
  <c r="D54" i="9"/>
  <c r="D61" i="9" s="1"/>
  <c r="G54" i="2"/>
  <c r="G61" i="2" s="1"/>
  <c r="AA54" i="1"/>
  <c r="I50" i="5"/>
  <c r="I51" i="1" s="1"/>
  <c r="I46" i="5"/>
  <c r="I47" i="1" s="1"/>
  <c r="I24" i="5"/>
  <c r="I25" i="1" s="1"/>
  <c r="I26" i="5"/>
  <c r="I27" i="1" s="1"/>
  <c r="I30" i="5"/>
  <c r="I31" i="1" s="1"/>
  <c r="I38" i="5"/>
  <c r="I39" i="1" s="1"/>
  <c r="I42" i="5"/>
  <c r="I43" i="1" s="1"/>
  <c r="I49" i="5"/>
  <c r="I50" i="1" s="1"/>
  <c r="I23" i="5"/>
  <c r="I24" i="1" s="1"/>
  <c r="I25" i="5"/>
  <c r="I26" i="1" s="1"/>
  <c r="I27" i="5"/>
  <c r="I28" i="1" s="1"/>
  <c r="I29" i="5"/>
  <c r="I30" i="1" s="1"/>
  <c r="I31" i="5"/>
  <c r="I32" i="1" s="1"/>
  <c r="I33" i="5"/>
  <c r="I34" i="1" s="1"/>
  <c r="I35" i="5"/>
  <c r="I36" i="1" s="1"/>
  <c r="I37" i="5"/>
  <c r="I38" i="1" s="1"/>
  <c r="I39" i="5"/>
  <c r="I40" i="1" s="1"/>
  <c r="I41" i="5"/>
  <c r="I42" i="1" s="1"/>
  <c r="I43" i="5"/>
  <c r="I44" i="1" s="1"/>
  <c r="I45" i="5"/>
  <c r="I46" i="1" s="1"/>
  <c r="I51" i="5"/>
  <c r="I52" i="1" s="1"/>
  <c r="I28" i="5"/>
  <c r="I29" i="1" s="1"/>
  <c r="I32" i="5"/>
  <c r="I33" i="1" s="1"/>
  <c r="I36" i="5"/>
  <c r="I37" i="1" s="1"/>
  <c r="I40" i="5"/>
  <c r="I41" i="1" s="1"/>
  <c r="I44" i="5"/>
  <c r="I45" i="1" s="1"/>
  <c r="L54" i="2" l="1"/>
  <c r="L61" i="2" s="1"/>
  <c r="G60" i="1"/>
  <c r="AB58" i="1"/>
  <c r="Z10" i="1"/>
  <c r="Z11" i="1"/>
  <c r="F53" i="1"/>
  <c r="F55" i="1" s="1"/>
  <c r="F62" i="1" s="1"/>
  <c r="Z50" i="1"/>
  <c r="AC9" i="1"/>
  <c r="AC50" i="1"/>
  <c r="AC39" i="1"/>
  <c r="AC30" i="1"/>
  <c r="AC59" i="1"/>
  <c r="T55" i="1"/>
  <c r="E60" i="1"/>
  <c r="AC58" i="1"/>
  <c r="AC60" i="1" s="1"/>
  <c r="AC13" i="1"/>
  <c r="K19" i="1"/>
  <c r="AC42" i="1"/>
  <c r="AC38" i="1"/>
  <c r="AC37" i="1"/>
  <c r="AC34" i="1"/>
  <c r="M55" i="1"/>
  <c r="M62" i="1" s="1"/>
  <c r="W55" i="1"/>
  <c r="W62" i="1" s="1"/>
  <c r="X58" i="1"/>
  <c r="O53" i="1"/>
  <c r="O55" i="1" s="1"/>
  <c r="O62" i="1" s="1"/>
  <c r="AC17" i="1"/>
  <c r="Z58" i="1"/>
  <c r="Z60" i="1" s="1"/>
  <c r="L19" i="1"/>
  <c r="L55" i="1" s="1"/>
  <c r="AC5" i="1"/>
  <c r="AC28" i="1"/>
  <c r="AC26" i="1"/>
  <c r="AC52" i="1"/>
  <c r="S55" i="1"/>
  <c r="S62" i="1" s="1"/>
  <c r="G62" i="1"/>
  <c r="R62" i="1"/>
  <c r="X60" i="1"/>
  <c r="T62" i="1"/>
  <c r="L54" i="9"/>
  <c r="AC47" i="1"/>
  <c r="AC40" i="1"/>
  <c r="E62" i="1"/>
  <c r="K54" i="6"/>
  <c r="V19" i="1"/>
  <c r="AB17" i="1"/>
  <c r="AE17" i="1" s="1"/>
  <c r="K54" i="7"/>
  <c r="AB51" i="1"/>
  <c r="AE51" i="1" s="1"/>
  <c r="AE50" i="1"/>
  <c r="V53" i="1"/>
  <c r="V55" i="1" s="1"/>
  <c r="V62" i="1" s="1"/>
  <c r="AB45" i="1"/>
  <c r="AE45" i="1" s="1"/>
  <c r="AB24" i="1"/>
  <c r="AE24" i="1" s="1"/>
  <c r="AB15" i="1"/>
  <c r="AB29" i="1"/>
  <c r="AE29" i="1" s="1"/>
  <c r="AE49" i="1"/>
  <c r="AE48" i="1"/>
  <c r="AE42" i="1"/>
  <c r="AB25" i="1"/>
  <c r="AE25" i="1" s="1"/>
  <c r="Y53" i="1"/>
  <c r="H54" i="3"/>
  <c r="H61" i="3" s="1"/>
  <c r="H52" i="3"/>
  <c r="U41" i="1"/>
  <c r="AE43" i="1"/>
  <c r="H52" i="5"/>
  <c r="U33" i="1"/>
  <c r="H52" i="2"/>
  <c r="H54" i="2" s="1"/>
  <c r="H61" i="2" s="1"/>
  <c r="C7" i="1"/>
  <c r="H18" i="9"/>
  <c r="H54" i="9" s="1"/>
  <c r="H61" i="9" s="1"/>
  <c r="Q60" i="1"/>
  <c r="Q62" i="1" s="1"/>
  <c r="AA60" i="1"/>
  <c r="Y19" i="1"/>
  <c r="Y55" i="1" s="1"/>
  <c r="Y62" i="1" s="1"/>
  <c r="G54" i="3"/>
  <c r="G61" i="3" s="1"/>
  <c r="H55" i="1"/>
  <c r="H62" i="1" s="1"/>
  <c r="J59" i="1"/>
  <c r="AB59" i="1" s="1"/>
  <c r="G54" i="4"/>
  <c r="G61" i="4" s="1"/>
  <c r="F52" i="5"/>
  <c r="D54" i="5"/>
  <c r="D61" i="5" s="1"/>
  <c r="U60" i="1"/>
  <c r="R57" i="21"/>
  <c r="R64" i="21" s="1"/>
  <c r="M55" i="21"/>
  <c r="S21" i="21"/>
  <c r="S57" i="21" s="1"/>
  <c r="S64" i="21" s="1"/>
  <c r="K16" i="21"/>
  <c r="F61" i="24"/>
  <c r="AE18" i="1"/>
  <c r="X6" i="1"/>
  <c r="X19" i="1" s="1"/>
  <c r="X55" i="1" s="1"/>
  <c r="F18" i="5"/>
  <c r="J52" i="5"/>
  <c r="AA21" i="1"/>
  <c r="C60" i="1"/>
  <c r="N55" i="1"/>
  <c r="N62" i="1" s="1"/>
  <c r="G18" i="5"/>
  <c r="G54" i="5" s="1"/>
  <c r="G61" i="5" s="1"/>
  <c r="D55" i="21"/>
  <c r="D57" i="21" s="1"/>
  <c r="D64" i="21" s="1"/>
  <c r="F7" i="21"/>
  <c r="F21" i="21" s="1"/>
  <c r="F57" i="21" s="1"/>
  <c r="F64" i="21" s="1"/>
  <c r="I21" i="21"/>
  <c r="I57" i="21" s="1"/>
  <c r="I64" i="21" s="1"/>
  <c r="E18" i="5"/>
  <c r="E54" i="5" s="1"/>
  <c r="E61" i="5" s="1"/>
  <c r="Y38" i="1"/>
  <c r="E52" i="2"/>
  <c r="E54" i="2" s="1"/>
  <c r="E61" i="2" s="1"/>
  <c r="H61" i="4"/>
  <c r="N46" i="21"/>
  <c r="J43" i="5" s="1"/>
  <c r="AA44" i="1" s="1"/>
  <c r="AE44" i="1" s="1"/>
  <c r="J22" i="5"/>
  <c r="AA23" i="1" s="1"/>
  <c r="AE23" i="1" s="1"/>
  <c r="N55" i="21"/>
  <c r="J61" i="10"/>
  <c r="AE41" i="1"/>
  <c r="M50" i="21"/>
  <c r="I47" i="5" s="1"/>
  <c r="I48" i="1" s="1"/>
  <c r="I53" i="1" s="1"/>
  <c r="AL57" i="21"/>
  <c r="AL64" i="21" s="1"/>
  <c r="M21" i="21"/>
  <c r="M57" i="21" s="1"/>
  <c r="M64" i="21" s="1"/>
  <c r="I4" i="5"/>
  <c r="N9" i="21"/>
  <c r="T21" i="21"/>
  <c r="T57" i="21" s="1"/>
  <c r="T64" i="21" s="1"/>
  <c r="L62" i="1"/>
  <c r="AE15" i="1"/>
  <c r="K52" i="5"/>
  <c r="Z29" i="1"/>
  <c r="Z45" i="1"/>
  <c r="AE36" i="1"/>
  <c r="AA16" i="1"/>
  <c r="AE16" i="1" s="1"/>
  <c r="O14" i="21"/>
  <c r="K11" i="5" s="1"/>
  <c r="J12" i="1" s="1"/>
  <c r="Z15" i="1"/>
  <c r="Z33" i="1"/>
  <c r="Z34" i="1"/>
  <c r="Z49" i="1"/>
  <c r="AB14" i="1"/>
  <c r="K48" i="1"/>
  <c r="K53" i="1" s="1"/>
  <c r="K55" i="1" s="1"/>
  <c r="K62" i="1" s="1"/>
  <c r="L52" i="5"/>
  <c r="AE39" i="1"/>
  <c r="AE34" i="1"/>
  <c r="AE27" i="1"/>
  <c r="AE22" i="1"/>
  <c r="AA14" i="1"/>
  <c r="K54" i="9"/>
  <c r="L18" i="5"/>
  <c r="Z21" i="1"/>
  <c r="Z37" i="1"/>
  <c r="K54" i="3"/>
  <c r="AB7" i="1"/>
  <c r="AB6" i="1"/>
  <c r="J53" i="1"/>
  <c r="J18" i="9"/>
  <c r="J54" i="9" s="1"/>
  <c r="J61" i="9" s="1"/>
  <c r="U24" i="1"/>
  <c r="U53" i="1" s="1"/>
  <c r="U55" i="1" s="1"/>
  <c r="V57" i="21"/>
  <c r="K18" i="2"/>
  <c r="K54" i="2" s="1"/>
  <c r="K61" i="2" s="1"/>
  <c r="Z25" i="1"/>
  <c r="Z26" i="1"/>
  <c r="Z41" i="1"/>
  <c r="Z42" i="1"/>
  <c r="AB13" i="1"/>
  <c r="Z8" i="1"/>
  <c r="Z12" i="1"/>
  <c r="Z16" i="1"/>
  <c r="Z22" i="1"/>
  <c r="Z30" i="1"/>
  <c r="Z38" i="1"/>
  <c r="Z46" i="1"/>
  <c r="AB11" i="1"/>
  <c r="AB9" i="1"/>
  <c r="AC12" i="1"/>
  <c r="AC45" i="1"/>
  <c r="Z9" i="1"/>
  <c r="Z13" i="1"/>
  <c r="Z17" i="1"/>
  <c r="Z23" i="1"/>
  <c r="Z27" i="1"/>
  <c r="Z31" i="1"/>
  <c r="Z35" i="1"/>
  <c r="Z39" i="1"/>
  <c r="Z43" i="1"/>
  <c r="Z47" i="1"/>
  <c r="Z51" i="1"/>
  <c r="AB5" i="1"/>
  <c r="AC7" i="1"/>
  <c r="AC49" i="1"/>
  <c r="AC31" i="1"/>
  <c r="AC23" i="1"/>
  <c r="Z6" i="1"/>
  <c r="Z14" i="1"/>
  <c r="Z18" i="1"/>
  <c r="Z28" i="1"/>
  <c r="Z32" i="1"/>
  <c r="Z36" i="1"/>
  <c r="Z40" i="1"/>
  <c r="Z44" i="1"/>
  <c r="Z48" i="1"/>
  <c r="Z52" i="1"/>
  <c r="L54" i="3"/>
  <c r="L54" i="7"/>
  <c r="AB10" i="1"/>
  <c r="AB8" i="1"/>
  <c r="AC15" i="1"/>
  <c r="AC41" i="1"/>
  <c r="AC36" i="1"/>
  <c r="AC18" i="1"/>
  <c r="AC10" i="1"/>
  <c r="AC48" i="1"/>
  <c r="AC29" i="1"/>
  <c r="AC21" i="1"/>
  <c r="AC16" i="1"/>
  <c r="AC8" i="1"/>
  <c r="AC46" i="1"/>
  <c r="AC32" i="1"/>
  <c r="AC27" i="1"/>
  <c r="AC14" i="1"/>
  <c r="AC6" i="1"/>
  <c r="AC44" i="1"/>
  <c r="AC25" i="1"/>
  <c r="AB60" i="1" l="1"/>
  <c r="U62" i="1"/>
  <c r="X62" i="1"/>
  <c r="AC19" i="1"/>
  <c r="AJ17" i="1" s="1"/>
  <c r="AB53" i="1"/>
  <c r="AI42" i="1" s="1"/>
  <c r="O21" i="21"/>
  <c r="O57" i="21" s="1"/>
  <c r="AI33" i="1"/>
  <c r="AI31" i="1"/>
  <c r="AI23" i="1"/>
  <c r="AI39" i="1"/>
  <c r="AI48" i="1"/>
  <c r="AI46" i="1"/>
  <c r="AI50" i="1"/>
  <c r="AI45" i="1"/>
  <c r="AI29" i="1"/>
  <c r="AJ13" i="1"/>
  <c r="AJ5" i="1"/>
  <c r="AE10" i="1"/>
  <c r="AE14" i="1"/>
  <c r="AI51" i="1"/>
  <c r="I52" i="5"/>
  <c r="AI47" i="1"/>
  <c r="AJ48" i="1"/>
  <c r="AE9" i="1"/>
  <c r="AE6" i="1"/>
  <c r="AJ15" i="1"/>
  <c r="AE11" i="1"/>
  <c r="L54" i="5"/>
  <c r="AB12" i="1"/>
  <c r="J19" i="1"/>
  <c r="J55" i="1" s="1"/>
  <c r="N21" i="21"/>
  <c r="N57" i="21" s="1"/>
  <c r="N64" i="21" s="1"/>
  <c r="J6" i="5"/>
  <c r="F54" i="5"/>
  <c r="F61" i="5" s="1"/>
  <c r="K21" i="21"/>
  <c r="K57" i="21" s="1"/>
  <c r="K64" i="21" s="1"/>
  <c r="H13" i="5"/>
  <c r="H18" i="5" s="1"/>
  <c r="H54" i="5" s="1"/>
  <c r="H61" i="5" s="1"/>
  <c r="J60" i="1"/>
  <c r="AI30" i="1"/>
  <c r="AJ14" i="1"/>
  <c r="AA53" i="1"/>
  <c r="AE21" i="1"/>
  <c r="AE53" i="1" s="1"/>
  <c r="AJ7" i="1"/>
  <c r="AC53" i="1"/>
  <c r="AJ32" i="1" s="1"/>
  <c r="AJ21" i="1"/>
  <c r="AE5" i="1"/>
  <c r="AE13" i="1"/>
  <c r="AI37" i="1"/>
  <c r="AI52" i="1"/>
  <c r="AI22" i="1"/>
  <c r="AE8" i="1"/>
  <c r="Z24" i="1"/>
  <c r="AI28" i="1"/>
  <c r="AI49" i="1"/>
  <c r="K18" i="5"/>
  <c r="K54" i="5" s="1"/>
  <c r="AI25" i="1"/>
  <c r="AI35" i="1"/>
  <c r="AI27" i="1"/>
  <c r="I18" i="5"/>
  <c r="I5" i="1"/>
  <c r="AI34" i="1"/>
  <c r="S67" i="21"/>
  <c r="K65" i="21"/>
  <c r="AI41" i="1"/>
  <c r="Z7" i="1"/>
  <c r="C19" i="1"/>
  <c r="C55" i="1" s="1"/>
  <c r="C62" i="1" s="1"/>
  <c r="AI43" i="1"/>
  <c r="AJ29" i="1" l="1"/>
  <c r="AJ23" i="1"/>
  <c r="AJ46" i="1"/>
  <c r="AJ18" i="1"/>
  <c r="AJ16" i="1"/>
  <c r="AJ10" i="1"/>
  <c r="AJ11" i="1"/>
  <c r="AJ9" i="1"/>
  <c r="AJ6" i="1"/>
  <c r="AJ12" i="1"/>
  <c r="AJ8" i="1"/>
  <c r="AJ41" i="1"/>
  <c r="AI38" i="1"/>
  <c r="AI40" i="1"/>
  <c r="AI26" i="1"/>
  <c r="AI36" i="1"/>
  <c r="AI21" i="1"/>
  <c r="AI32" i="1"/>
  <c r="AI44" i="1"/>
  <c r="AJ31" i="1"/>
  <c r="AJ27" i="1"/>
  <c r="AJ45" i="1"/>
  <c r="AJ36" i="1"/>
  <c r="AJ44" i="1"/>
  <c r="AI24" i="1"/>
  <c r="I19" i="1"/>
  <c r="I55" i="1" s="1"/>
  <c r="I62" i="1" s="1"/>
  <c r="Z5" i="1"/>
  <c r="AE12" i="1"/>
  <c r="I54" i="5"/>
  <c r="I61" i="5" s="1"/>
  <c r="AA7" i="1"/>
  <c r="J18" i="5"/>
  <c r="J54" i="5" s="1"/>
  <c r="J61" i="5" s="1"/>
  <c r="AB19" i="1"/>
  <c r="AJ30" i="1"/>
  <c r="AJ22" i="1"/>
  <c r="AJ50" i="1"/>
  <c r="AJ39" i="1"/>
  <c r="AJ37" i="1"/>
  <c r="AJ34" i="1"/>
  <c r="AJ35" i="1"/>
  <c r="AJ43" i="1"/>
  <c r="AJ33" i="1"/>
  <c r="AJ42" i="1"/>
  <c r="AJ28" i="1"/>
  <c r="AJ26" i="1"/>
  <c r="AJ51" i="1"/>
  <c r="AJ47" i="1"/>
  <c r="AJ52" i="1"/>
  <c r="AJ38" i="1"/>
  <c r="AJ40" i="1"/>
  <c r="AJ24" i="1"/>
  <c r="AJ49" i="1"/>
  <c r="J62" i="1"/>
  <c r="Z53" i="1"/>
  <c r="AJ25" i="1"/>
  <c r="AC55" i="1"/>
  <c r="AC62" i="1" s="1"/>
  <c r="AA19" i="1" l="1"/>
  <c r="AA55" i="1" s="1"/>
  <c r="AA62" i="1" s="1"/>
  <c r="AE7" i="1"/>
  <c r="AE19" i="1" s="1"/>
  <c r="AH50" i="1"/>
  <c r="AH47" i="1"/>
  <c r="AH33" i="1"/>
  <c r="AH27" i="1"/>
  <c r="AH23" i="1"/>
  <c r="AH40" i="1"/>
  <c r="AH35" i="1"/>
  <c r="AH34" i="1"/>
  <c r="AH21" i="1"/>
  <c r="AH29" i="1"/>
  <c r="AH43" i="1"/>
  <c r="AH28" i="1"/>
  <c r="AH25" i="1"/>
  <c r="AH30" i="1"/>
  <c r="AH22" i="1"/>
  <c r="AH32" i="1"/>
  <c r="AH38" i="1"/>
  <c r="AH37" i="1"/>
  <c r="AH45" i="1"/>
  <c r="AH42" i="1"/>
  <c r="AH39" i="1"/>
  <c r="AH49" i="1"/>
  <c r="AH52" i="1"/>
  <c r="AH48" i="1"/>
  <c r="AH46" i="1"/>
  <c r="AH31" i="1"/>
  <c r="AH41" i="1"/>
  <c r="AH26" i="1"/>
  <c r="AH36" i="1"/>
  <c r="AH44" i="1"/>
  <c r="AH51" i="1"/>
  <c r="AB55" i="1"/>
  <c r="AI17" i="1"/>
  <c r="AI18" i="1"/>
  <c r="AI15" i="1"/>
  <c r="AI16" i="1"/>
  <c r="AI7" i="1"/>
  <c r="AI6" i="1"/>
  <c r="AI9" i="1"/>
  <c r="AI14" i="1"/>
  <c r="AI10" i="1"/>
  <c r="AI11" i="1"/>
  <c r="AI5" i="1"/>
  <c r="AI13" i="1"/>
  <c r="AI8" i="1"/>
  <c r="AH5" i="1"/>
  <c r="Z19" i="1"/>
  <c r="AH24" i="1"/>
  <c r="AI12" i="1"/>
  <c r="AE55" i="1" l="1"/>
  <c r="AB62" i="1"/>
  <c r="Z55" i="1"/>
  <c r="Z62" i="1" s="1"/>
  <c r="AH10" i="1"/>
  <c r="AH11" i="1"/>
  <c r="AH15" i="1"/>
  <c r="AH14" i="1"/>
  <c r="AH8" i="1"/>
  <c r="AH6" i="1"/>
  <c r="AH16" i="1"/>
  <c r="AH18" i="1"/>
  <c r="AH13" i="1"/>
  <c r="AH12" i="1"/>
  <c r="AH17" i="1"/>
  <c r="AH9" i="1"/>
  <c r="A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Eirik Bådsvik Hamre</author>
  </authors>
  <commentList>
    <comment ref="K14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Eirik Bådsvik Hamre:</t>
        </r>
        <r>
          <rPr>
            <sz val="9"/>
            <color indexed="81"/>
            <rFont val="Calibri"/>
            <family val="2"/>
          </rPr>
          <t xml:space="preserve">
20000 fra 2016 måtte kreditteres (Kiwi) da vi manglet kontrakt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Eirik Bådsvik Hamre</author>
  </authors>
  <commentList>
    <comment ref="V7" authorId="0" shapeId="0" xr:uid="{00000000-0006-0000-0B00-000001000000}">
      <text>
        <r>
          <rPr>
            <b/>
            <sz val="9"/>
            <color rgb="FF000000"/>
            <rFont val="Calibri"/>
            <family val="2"/>
          </rPr>
          <t>Eirik Bådsvik Hamre: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50 000 aktivitet
</t>
        </r>
        <r>
          <rPr>
            <sz val="9"/>
            <color rgb="FF000000"/>
            <rFont val="Calibri"/>
            <family val="2"/>
          </rPr>
          <t xml:space="preserve">36300 løypekjøring
</t>
        </r>
        <r>
          <rPr>
            <sz val="9"/>
            <color rgb="FF000000"/>
            <rFont val="Calibri"/>
            <family val="2"/>
          </rPr>
          <t>120 000 anlegg</t>
        </r>
      </text>
    </comment>
  </commentList>
</comments>
</file>

<file path=xl/sharedStrings.xml><?xml version="1.0" encoding="utf-8"?>
<sst xmlns="http://schemas.openxmlformats.org/spreadsheetml/2006/main" count="1417" uniqueCount="504">
  <si>
    <t>Konto</t>
  </si>
  <si>
    <t>Inntekter</t>
  </si>
  <si>
    <t>Kiosksalg</t>
  </si>
  <si>
    <t>Inntekt lotteri</t>
  </si>
  <si>
    <t>Offentlig tilskudd</t>
  </si>
  <si>
    <t>Leieinnt. sportshytte</t>
  </si>
  <si>
    <t>Kontingenter</t>
  </si>
  <si>
    <t>Aktivitetsavgift</t>
  </si>
  <si>
    <t>Tipping og div inntekter</t>
  </si>
  <si>
    <t>Innt. stevner/aktivitet</t>
  </si>
  <si>
    <t>Reklame/sponsorer</t>
  </si>
  <si>
    <t>Innbringende tiltak</t>
  </si>
  <si>
    <t>Gaver</t>
  </si>
  <si>
    <t>Moms kompensasjon</t>
  </si>
  <si>
    <t>Sum inntekter</t>
  </si>
  <si>
    <t>Utgifter</t>
  </si>
  <si>
    <t>Premier, merker</t>
  </si>
  <si>
    <t>Utgift lotteri</t>
  </si>
  <si>
    <t>Innkjøp kiosk</t>
  </si>
  <si>
    <t>Inntektsbringende tiltak utgift</t>
  </si>
  <si>
    <t>Lønn-utgiftsgodtgj</t>
  </si>
  <si>
    <t>Forsikring</t>
  </si>
  <si>
    <t>Driftsutg bygninger</t>
  </si>
  <si>
    <t>Driftsutg. baner/løyper</t>
  </si>
  <si>
    <t>Vedlikehold bygninger</t>
  </si>
  <si>
    <t>Vedlikeh. baner/løyper</t>
  </si>
  <si>
    <t>Aviser/tidsskrifter/bøker o.l</t>
  </si>
  <si>
    <t>Arrangement møter</t>
  </si>
  <si>
    <t>Regnskaps honorar</t>
  </si>
  <si>
    <t>Porto</t>
  </si>
  <si>
    <t>Reklame / annonser</t>
  </si>
  <si>
    <t>Kont./lisens idrettsorg.</t>
  </si>
  <si>
    <t>Utg. stevner/aktiviteter</t>
  </si>
  <si>
    <t>Treningsutgifter</t>
  </si>
  <si>
    <t>Diverse utgifter</t>
  </si>
  <si>
    <t>Avskriving på transportmidler</t>
  </si>
  <si>
    <t>Sum utgifter</t>
  </si>
  <si>
    <t>Resultat</t>
  </si>
  <si>
    <t>Driftsresultat</t>
  </si>
  <si>
    <t>Driftsutg snørydding</t>
  </si>
  <si>
    <t>Kjøp av utstyr</t>
  </si>
  <si>
    <t>Lys og varme</t>
  </si>
  <si>
    <t>Avfall/restavfall</t>
  </si>
  <si>
    <t>Kontorrekvisita</t>
  </si>
  <si>
    <t>Telefon</t>
  </si>
  <si>
    <t>Reisekostnader, ikke oppg plikt</t>
  </si>
  <si>
    <t>Bankj og kortgebyrer</t>
  </si>
  <si>
    <t>Vedlikeh av utstyr</t>
  </si>
  <si>
    <t xml:space="preserve">Drivstoff </t>
  </si>
  <si>
    <t>Finansposter</t>
  </si>
  <si>
    <t>Renteinntekt bank</t>
  </si>
  <si>
    <t>Regnskap 30.09.</t>
  </si>
  <si>
    <t>Renteutgifter</t>
  </si>
  <si>
    <t>Sum finans</t>
  </si>
  <si>
    <t>Avskrivninger</t>
  </si>
  <si>
    <t>Refundert strøm Prestmarka</t>
  </si>
  <si>
    <t xml:space="preserve">                       Turn </t>
  </si>
  <si>
    <t xml:space="preserve">    Ski</t>
  </si>
  <si>
    <t>Fotball</t>
  </si>
  <si>
    <t xml:space="preserve">                  Sykkel</t>
  </si>
  <si>
    <t>Sykkel</t>
  </si>
  <si>
    <t xml:space="preserve">                 Gang &amp; Tur</t>
  </si>
  <si>
    <t xml:space="preserve">                     Totalt - Eina Sportsklubb</t>
  </si>
  <si>
    <t>Beskrivelse - type</t>
  </si>
  <si>
    <t>Modell</t>
  </si>
  <si>
    <t>Traktorgressklipper - Husqvarna P520 m/kost</t>
  </si>
  <si>
    <t>Forsikringssum</t>
  </si>
  <si>
    <t>Prinoth T2S - løypeleggemaskin</t>
  </si>
  <si>
    <t>M-Track - Løypeleggemaskin</t>
  </si>
  <si>
    <t>Snøscooter - Aktiv Grizzly XP HV2941, 45 hk</t>
  </si>
  <si>
    <t>Snøscooter - Polaris Wide Trak Lx HV5796, 45 hk</t>
  </si>
  <si>
    <t>Klippeutstyr</t>
  </si>
  <si>
    <t>Løypeutstyr</t>
  </si>
  <si>
    <t>Beskrivelse - tekst</t>
  </si>
  <si>
    <t>Tilstandsvurdering - kommentarer</t>
  </si>
  <si>
    <t>Note</t>
  </si>
  <si>
    <t>Driftsløsøre</t>
  </si>
  <si>
    <t>Nyinvesteringer/utskiftninger driftsløsøre</t>
  </si>
  <si>
    <t>Beløp</t>
  </si>
  <si>
    <t>Brutto investeringsramme</t>
  </si>
  <si>
    <t>Netto investeringsramme</t>
  </si>
  <si>
    <t>(driftsløsøre og anlegg)</t>
  </si>
  <si>
    <t>Forutsetninger:</t>
  </si>
  <si>
    <t>Nyinvesteringer/større vedlikehold på anleggene</t>
  </si>
  <si>
    <t>- innbytte/salg gammelt utstyr</t>
  </si>
  <si>
    <t>Forutsetninger i budsjettet:</t>
  </si>
  <si>
    <t>Bank og kortgebyrer</t>
  </si>
  <si>
    <t>Regnskap 2013</t>
  </si>
  <si>
    <t>Reisekostnader, ikke oppg pl.</t>
  </si>
  <si>
    <t>Annen inntekt</t>
  </si>
  <si>
    <t>Kurs, utdanning, utvikling</t>
  </si>
  <si>
    <t>G 13</t>
  </si>
  <si>
    <t>Andre</t>
  </si>
  <si>
    <t>Regnskap J 14</t>
  </si>
  <si>
    <t>Traktorgressklipper - John Deer LX280</t>
  </si>
  <si>
    <t>Bra stand, skiftet belter i 2012, ny turbo i 2013.</t>
  </si>
  <si>
    <t>Dårlige tilstand enn først antatt, reparert gearkasse 2014</t>
  </si>
  <si>
    <t>Tilstand ukjent.</t>
  </si>
  <si>
    <t>Annen inntekt (VTK-bevilget)</t>
  </si>
  <si>
    <t>Ny i 2012.</t>
  </si>
  <si>
    <t xml:space="preserve">       Hovedlaget/anlegg</t>
  </si>
  <si>
    <t>Kostnader</t>
  </si>
  <si>
    <t>Sum kostnader</t>
  </si>
  <si>
    <t>Aktivitetsresultat før finans</t>
  </si>
  <si>
    <t>Nyinvesteringer:</t>
  </si>
  <si>
    <t>Regnskapshonorar</t>
  </si>
  <si>
    <t>Budsjett 2015</t>
  </si>
  <si>
    <t>Vedlikehold - og investeringsbudsjett 2015</t>
  </si>
  <si>
    <t xml:space="preserve">Henvis med nummer i kolonnen Note ovenfor, om beskriv forutsetningene her. </t>
  </si>
  <si>
    <t>Regnskap 2014</t>
  </si>
  <si>
    <t>Utg. stevner/aktiviteter/cuper</t>
  </si>
  <si>
    <t>Aktivitetstilskudd VTK/NIF</t>
  </si>
  <si>
    <t>Solgt januar 2015</t>
  </si>
  <si>
    <t>Rehabilitering dusjanlegg i Prestmarka</t>
  </si>
  <si>
    <t>- Støtte sparebankstiftelsen</t>
  </si>
  <si>
    <t>Turnutstyr , kjøpt januar 2015</t>
  </si>
  <si>
    <t>Kjøp av scooter og sporsetter, kjøpt januar 2015</t>
  </si>
  <si>
    <t>Solgt januar 2015, salgssum totalt kr 31.000,-</t>
  </si>
  <si>
    <t>Tilbygg lager/garasje - Prestmarka - må søke tilskudd</t>
  </si>
  <si>
    <t>Avskriving på anleggsmidler</t>
  </si>
  <si>
    <t>Gruppe/lag</t>
  </si>
  <si>
    <t>A-lag</t>
  </si>
  <si>
    <t>Sum Fotballgruppa</t>
  </si>
  <si>
    <t>Medlemskontigent</t>
  </si>
  <si>
    <t>Kommentarer</t>
  </si>
  <si>
    <t>Budsjett 2016</t>
  </si>
  <si>
    <t>46 stk</t>
  </si>
  <si>
    <t xml:space="preserve"> </t>
  </si>
  <si>
    <t>Yngres 2016</t>
  </si>
  <si>
    <t>G14 2016</t>
  </si>
  <si>
    <t>A-lag 2016</t>
  </si>
  <si>
    <t>A- lag B2015</t>
  </si>
  <si>
    <t>A-lag 31.12.</t>
  </si>
  <si>
    <t>Regnskap 2015</t>
  </si>
  <si>
    <t>Regnskap 2016.</t>
  </si>
  <si>
    <t>Regnskap 2016</t>
  </si>
  <si>
    <t>Eina SK - Regnskap 2016    -  Ski</t>
  </si>
  <si>
    <t>Eina SK - Regnskap 2016   -  Turn</t>
  </si>
  <si>
    <t>Eina SK - Regnskap 2016   Sykkel</t>
  </si>
  <si>
    <t>Eina SK - Regnskap 2016   -  Gang &amp; Tur</t>
  </si>
  <si>
    <t>Eina SK - Regnskap 2016    Hovedlaget</t>
  </si>
  <si>
    <t>Eina SK - Regnskap 2016     Anlegg, bane, løype</t>
  </si>
  <si>
    <t>Eina SK - Regnskap 2016   -  Blilie</t>
  </si>
  <si>
    <t>Eina SK - Regnskap 2016   -  Prestmarka</t>
  </si>
  <si>
    <t>Yngres B2016</t>
  </si>
  <si>
    <t>G14 B2016</t>
  </si>
  <si>
    <t>Verona</t>
  </si>
  <si>
    <t>IØFK</t>
  </si>
  <si>
    <t>8100+2000</t>
  </si>
  <si>
    <t>A-lag B2016</t>
  </si>
  <si>
    <t>J16/damer B2016</t>
  </si>
  <si>
    <t>J16/damer 2016</t>
  </si>
  <si>
    <t>J13 B2016</t>
  </si>
  <si>
    <t>J13 2016</t>
  </si>
  <si>
    <t>Eina SK - Regnskap 2017   -  Fotball</t>
  </si>
  <si>
    <t>Budsjett 2017</t>
  </si>
  <si>
    <t>Yngres  B2017</t>
  </si>
  <si>
    <t>Yngres 2017</t>
  </si>
  <si>
    <t>J14 B2017</t>
  </si>
  <si>
    <t>J14 2017</t>
  </si>
  <si>
    <t>Damer B2017</t>
  </si>
  <si>
    <t>A-Lag B2017</t>
  </si>
  <si>
    <t>Budjsett 2017</t>
  </si>
  <si>
    <t>Regnskap 2017</t>
  </si>
  <si>
    <t xml:space="preserve">Traktorgressklipper - </t>
  </si>
  <si>
    <t>Eina Sportsklubb - Regnskap budsjett 2017</t>
  </si>
  <si>
    <t>Damer</t>
  </si>
  <si>
    <t>G14</t>
  </si>
  <si>
    <t>J13</t>
  </si>
  <si>
    <t>Offentlig tilskudd 30 000</t>
  </si>
  <si>
    <t>Aktivitetsavgift      30 000</t>
  </si>
  <si>
    <t>Kiosk/lodd             7000</t>
  </si>
  <si>
    <t>Inngangspenger    1200</t>
  </si>
  <si>
    <t>Spons Cirkel k     10 000</t>
  </si>
  <si>
    <t>Salg av kaffe kopper 10 100</t>
  </si>
  <si>
    <t>Lions           10 000</t>
  </si>
  <si>
    <t>Spons trenere (lønn)  10 000</t>
  </si>
  <si>
    <t>Stevne/konkurranse  28 200</t>
  </si>
  <si>
    <t>Spons kronerullering   2000</t>
  </si>
  <si>
    <t>Innbringende tiltak ?? ( hva skal regnes der ? )</t>
  </si>
  <si>
    <t>Sum inn : 138500,-</t>
  </si>
  <si>
    <t>UT:</t>
  </si>
  <si>
    <t>Kurs                                 4000</t>
  </si>
  <si>
    <t>Stevne/konkurranse       31 000</t>
  </si>
  <si>
    <t>Kjøp av utstyr                  65 000</t>
  </si>
  <si>
    <t>Lønn trenere                    25 000</t>
  </si>
  <si>
    <t>Div utgifter                          1000</t>
  </si>
  <si>
    <t>Premier                                 600</t>
  </si>
  <si>
    <t>Gaver trenere                   1800</t>
  </si>
  <si>
    <t>Sum ut :    128400,-</t>
  </si>
  <si>
    <t>Dif + 10 100,-</t>
  </si>
  <si>
    <t xml:space="preserve">Selge gammel scooter </t>
  </si>
  <si>
    <t xml:space="preserve">Kjøpe brukt scooter </t>
  </si>
  <si>
    <t>Nett på Blilie</t>
  </si>
  <si>
    <t>Treningbenker inne Prestmarka</t>
  </si>
  <si>
    <t>Budsjett 2018</t>
  </si>
  <si>
    <t>Regnskap Fotballgruppa 2013-2017</t>
  </si>
  <si>
    <t>Yngres B2018</t>
  </si>
  <si>
    <t>Damer 2017</t>
  </si>
  <si>
    <t>Damer B2018</t>
  </si>
  <si>
    <t>J14 B2018</t>
  </si>
  <si>
    <t>A-lag 2017</t>
  </si>
  <si>
    <t>A-lag B2018</t>
  </si>
  <si>
    <r>
      <t>Lønn-utgiftsgodtgj</t>
    </r>
    <r>
      <rPr>
        <sz val="10"/>
        <rFont val="Arial"/>
        <family val="2"/>
      </rPr>
      <t xml:space="preserve"> og yrkesskadefor.</t>
    </r>
  </si>
  <si>
    <t>Bud 2018</t>
  </si>
  <si>
    <t>Regskap 2017</t>
  </si>
  <si>
    <t xml:space="preserve">      TKD</t>
  </si>
  <si>
    <t>Eina SK - Regnskap 2017   TKD</t>
  </si>
  <si>
    <t>Avvik 2017 mot budsjett</t>
  </si>
  <si>
    <t>Toten Sparebank</t>
  </si>
  <si>
    <t>Eidsiva</t>
  </si>
  <si>
    <t>Metallco</t>
  </si>
  <si>
    <t>Kiwi</t>
  </si>
  <si>
    <t>Betonmast</t>
  </si>
  <si>
    <t>Eina Allmenning</t>
  </si>
  <si>
    <t>30000 ny, og 10000 for årsoppgjør hos Toten Regnskapskontor</t>
  </si>
  <si>
    <t>Økonomitjenester</t>
  </si>
  <si>
    <t>Bredbånd Prestmarka</t>
  </si>
  <si>
    <t>Vipps er grunnlaget for økningen, men en effektiv løsning</t>
  </si>
  <si>
    <t>To anlegg</t>
  </si>
  <si>
    <t>Større investeringer aktiveres, dette er eventuelt mindre utstyr</t>
  </si>
  <si>
    <t>Vedlikehold av snøskutere, tråkkemaskin, gressklippere etc</t>
  </si>
  <si>
    <t>Andel, låssystem (1500)</t>
  </si>
  <si>
    <t>Låssystem og varmtvannsspredere</t>
  </si>
  <si>
    <t xml:space="preserve">Støvsuger med med 5000, kjøpt jan. 18. Dampvasker 10000, </t>
  </si>
  <si>
    <t>Vaskemidler, etc. NorEngros</t>
  </si>
  <si>
    <t>Vaskemidler etc, NorEngros</t>
  </si>
  <si>
    <t>Tap på kundefordringer (aktivitetsavgift ikke betalt fra 2016)</t>
  </si>
  <si>
    <t>Antar 20 stk som kan faktureres vår og høst,</t>
  </si>
  <si>
    <t>Antar 40 deltagere pr skirenn, 50 % betaler for alle renn</t>
  </si>
  <si>
    <t>Andel av total2017</t>
  </si>
  <si>
    <t>Andel av total B2018</t>
  </si>
  <si>
    <t>Ande av total 2016</t>
  </si>
  <si>
    <t>Annen driftsrelatert inntekt</t>
  </si>
  <si>
    <t/>
  </si>
  <si>
    <t>-2674084</t>
  </si>
  <si>
    <t>-2622132</t>
  </si>
  <si>
    <t>SUM EGENKAPITAL OG GJELD</t>
  </si>
  <si>
    <t>1</t>
  </si>
  <si>
    <t>-52000</t>
  </si>
  <si>
    <t>-23300</t>
  </si>
  <si>
    <t>2965 - Målscorer Damelag til bruk i 2017</t>
  </si>
  <si>
    <t>-29422</t>
  </si>
  <si>
    <t>0</t>
  </si>
  <si>
    <t>2964 - Drift Reinsvoll 2015-2016</t>
  </si>
  <si>
    <t>-7150</t>
  </si>
  <si>
    <t>2962 - Midler J13/14 brukes 2017</t>
  </si>
  <si>
    <t>-1</t>
  </si>
  <si>
    <t>-44000</t>
  </si>
  <si>
    <t>-74899</t>
  </si>
  <si>
    <t>2961 - Midler turn, brukes 2017</t>
  </si>
  <si>
    <t>-11389</t>
  </si>
  <si>
    <t>2960 - Påløpt kostnad og forskuddsbet. inntekt</t>
  </si>
  <si>
    <t>2940 - Skyldige feriepenger</t>
  </si>
  <si>
    <t>-15000</t>
  </si>
  <si>
    <t>2930 - Skyldig lønn</t>
  </si>
  <si>
    <t>-8834</t>
  </si>
  <si>
    <t>2910 - Gjeld til ansatte og eiere</t>
  </si>
  <si>
    <t>-158960</t>
  </si>
  <si>
    <t>-122033</t>
  </si>
  <si>
    <t>Annen kortsiktig gjeld</t>
  </si>
  <si>
    <t>2401 - Leverandørgjeld, 1.1.2015</t>
  </si>
  <si>
    <t>-21297</t>
  </si>
  <si>
    <t>-25561</t>
  </si>
  <si>
    <t>2400 - Leverandørgjeld</t>
  </si>
  <si>
    <t>Leverandørgjeld</t>
  </si>
  <si>
    <t>-180257</t>
  </si>
  <si>
    <t>-147594</t>
  </si>
  <si>
    <t>Sum kortsiktig gjeld</t>
  </si>
  <si>
    <t>Sum gjeld</t>
  </si>
  <si>
    <t>167747</t>
  </si>
  <si>
    <t>8960 - Overføringer annen egenkapital</t>
  </si>
  <si>
    <t>8800 - Årsresultat</t>
  </si>
  <si>
    <t>100</t>
  </si>
  <si>
    <t>8155 - Rentekostnad leverandørgjeld</t>
  </si>
  <si>
    <t>-50</t>
  </si>
  <si>
    <t>8055 - Renteinntekt kundefordringer</t>
  </si>
  <si>
    <t>-14141</t>
  </si>
  <si>
    <t>-13135</t>
  </si>
  <si>
    <t>8051 - Renteinntekt bankinnskudd</t>
  </si>
  <si>
    <t>-1516</t>
  </si>
  <si>
    <t>8982</t>
  </si>
  <si>
    <t>7790 - Annen kostnad</t>
  </si>
  <si>
    <t>2645</t>
  </si>
  <si>
    <t>3447</t>
  </si>
  <si>
    <t>7770 - Bank- og kortgebyr</t>
  </si>
  <si>
    <t>89856</t>
  </si>
  <si>
    <t>82852</t>
  </si>
  <si>
    <t>7755 - Treningsutgifter, baneleie</t>
  </si>
  <si>
    <t>280641</t>
  </si>
  <si>
    <t>187094</t>
  </si>
  <si>
    <t>7750 - Utg. stevner og aktiviteter</t>
  </si>
  <si>
    <t>5502</t>
  </si>
  <si>
    <t>14354</t>
  </si>
  <si>
    <t>7745 - Kurs, utdanning, utvikling</t>
  </si>
  <si>
    <t>7740 - Øredifferanser ved avstemming</t>
  </si>
  <si>
    <t>500</t>
  </si>
  <si>
    <t>7550 - Garantikostnad</t>
  </si>
  <si>
    <t>52869</t>
  </si>
  <si>
    <t>70150</t>
  </si>
  <si>
    <t>7500 - Forsikringspremie</t>
  </si>
  <si>
    <t>23003</t>
  </si>
  <si>
    <t>26713</t>
  </si>
  <si>
    <t>7420 - Gaver</t>
  </si>
  <si>
    <t>67370</t>
  </si>
  <si>
    <t>68290</t>
  </si>
  <si>
    <t>7400 - Kontingent, Lisenser idrettsorg.</t>
  </si>
  <si>
    <t>17394</t>
  </si>
  <si>
    <t>1078</t>
  </si>
  <si>
    <t>7320 - Reklamekostnad</t>
  </si>
  <si>
    <t>6141</t>
  </si>
  <si>
    <t>55152</t>
  </si>
  <si>
    <t>7140 - Reisekostnad, ikke oppgavepliktig</t>
  </si>
  <si>
    <t>13059</t>
  </si>
  <si>
    <t>12560</t>
  </si>
  <si>
    <t>7000 - Drivstoff transportmidler</t>
  </si>
  <si>
    <t>2047</t>
  </si>
  <si>
    <t>1092</t>
  </si>
  <si>
    <t>6940 - Porto</t>
  </si>
  <si>
    <t>1060</t>
  </si>
  <si>
    <t>2674</t>
  </si>
  <si>
    <t>6900 - Telefon</t>
  </si>
  <si>
    <t>6948</t>
  </si>
  <si>
    <t>8491</t>
  </si>
  <si>
    <t>6860 - Møte, kurs, oppdatering o l</t>
  </si>
  <si>
    <t>507</t>
  </si>
  <si>
    <t>2566</t>
  </si>
  <si>
    <t>6800 - Kontorrekvisita</t>
  </si>
  <si>
    <t>91869</t>
  </si>
  <si>
    <t>51009</t>
  </si>
  <si>
    <t>6705 - Regnskapshonorar</t>
  </si>
  <si>
    <t>24169</t>
  </si>
  <si>
    <t>17381</t>
  </si>
  <si>
    <t>6630 - Reparasjon og vedlikehold utstyr</t>
  </si>
  <si>
    <t>36662</t>
  </si>
  <si>
    <t>60335</t>
  </si>
  <si>
    <t>6620 - Reparasjon og vedlikehold baner/løyper</t>
  </si>
  <si>
    <t>33928</t>
  </si>
  <si>
    <t>99784</t>
  </si>
  <si>
    <t>6600 - Reparasjon og vedlikehold bygninger</t>
  </si>
  <si>
    <t>7265</t>
  </si>
  <si>
    <t>6551 - Datautstyr</t>
  </si>
  <si>
    <t>71171</t>
  </si>
  <si>
    <t>184898</t>
  </si>
  <si>
    <t>6550 - Kjøp av utstyr</t>
  </si>
  <si>
    <t>96115</t>
  </si>
  <si>
    <t>75165</t>
  </si>
  <si>
    <t>6340 - Lys, varme - sportshytter</t>
  </si>
  <si>
    <t>32750</t>
  </si>
  <si>
    <t>35416</t>
  </si>
  <si>
    <t>6320 - Renovasjon, vann, avløp o l</t>
  </si>
  <si>
    <t>10881</t>
  </si>
  <si>
    <t>10967</t>
  </si>
  <si>
    <t>6317 - Driftsutgifter, baner og løyper</t>
  </si>
  <si>
    <t>1500</t>
  </si>
  <si>
    <t>3750</t>
  </si>
  <si>
    <t>6316 - Driftsutgifter, snørydding</t>
  </si>
  <si>
    <t>5807</t>
  </si>
  <si>
    <t>3583</t>
  </si>
  <si>
    <t>6315 - Driftsutgifter, bygninger</t>
  </si>
  <si>
    <t>7800</t>
  </si>
  <si>
    <t>6300 - Leie lokale</t>
  </si>
  <si>
    <t>646</t>
  </si>
  <si>
    <t>6260 - Vann</t>
  </si>
  <si>
    <t>74983</t>
  </si>
  <si>
    <t>75447</t>
  </si>
  <si>
    <t>6010 - Avskr. transportm., maskiner og inventar</t>
  </si>
  <si>
    <t>275</t>
  </si>
  <si>
    <t>5920 - Yrkesskadeforsikring</t>
  </si>
  <si>
    <t>10000</t>
  </si>
  <si>
    <t>5090 - Periodiseringskonto lønn</t>
  </si>
  <si>
    <t>40295</t>
  </si>
  <si>
    <t>38178</t>
  </si>
  <si>
    <t>5000 - Lønn til ansatte</t>
  </si>
  <si>
    <t>11413</t>
  </si>
  <si>
    <t>4500 - Fremmedytelse og underentreprise</t>
  </si>
  <si>
    <t>50635</t>
  </si>
  <si>
    <t>51300</t>
  </si>
  <si>
    <t>4300 - Innkjøp kiosk</t>
  </si>
  <si>
    <t>83940</t>
  </si>
  <si>
    <t>78815</t>
  </si>
  <si>
    <t>4225 - Inntektsbringende tiltak, utgift</t>
  </si>
  <si>
    <t>5237</t>
  </si>
  <si>
    <t>13608</t>
  </si>
  <si>
    <t>4210 - Premier, merker o.l.</t>
  </si>
  <si>
    <t>-42324</t>
  </si>
  <si>
    <t>-48322</t>
  </si>
  <si>
    <t>3990 - Andre inntekter</t>
  </si>
  <si>
    <t>-18941</t>
  </si>
  <si>
    <t>-33674</t>
  </si>
  <si>
    <t>3985 - Grasrotandelen Norsk Tipping</t>
  </si>
  <si>
    <t>-74052</t>
  </si>
  <si>
    <t>-31120</t>
  </si>
  <si>
    <t>3980 - Gaver</t>
  </si>
  <si>
    <t>-175627</t>
  </si>
  <si>
    <t>-227292</t>
  </si>
  <si>
    <t>3975 - Inntektsbringende tiltak, dugnad m.m.</t>
  </si>
  <si>
    <t>-157817</t>
  </si>
  <si>
    <t>-175395</t>
  </si>
  <si>
    <t>3970 - Reklame/sponsorer</t>
  </si>
  <si>
    <t>-116426</t>
  </si>
  <si>
    <t>-92905</t>
  </si>
  <si>
    <t>3950 - Inntekt stevner og aktiviteter</t>
  </si>
  <si>
    <t>-97413</t>
  </si>
  <si>
    <t>-63776</t>
  </si>
  <si>
    <t>3926 - Momskompensasjon</t>
  </si>
  <si>
    <t>-269053</t>
  </si>
  <si>
    <t>-235701</t>
  </si>
  <si>
    <t>3925 - Aktivitetsavgift</t>
  </si>
  <si>
    <t>-33050</t>
  </si>
  <si>
    <t>-27501</t>
  </si>
  <si>
    <t>3920 - Medlemskontingent</t>
  </si>
  <si>
    <t>-1107</t>
  </si>
  <si>
    <t>3900 - Annen driftsrelatert inntekt</t>
  </si>
  <si>
    <t>-9450</t>
  </si>
  <si>
    <t>-8400</t>
  </si>
  <si>
    <t>3600 - Leieinntekt Sportshytter</t>
  </si>
  <si>
    <t>3442 - Tilskudd fra andre</t>
  </si>
  <si>
    <t>-8107</t>
  </si>
  <si>
    <t>-8252</t>
  </si>
  <si>
    <t>3440 - Refundert strøm, lysløype Prestmarka</t>
  </si>
  <si>
    <t>-354383</t>
  </si>
  <si>
    <t>-288300</t>
  </si>
  <si>
    <t>3400 - Kommunalt tilskudd og NIF tilskudd</t>
  </si>
  <si>
    <t>-9629</t>
  </si>
  <si>
    <t>3115 - Salgsinnt. egentilv. varer, utførsel, avg.fri</t>
  </si>
  <si>
    <t>-62053</t>
  </si>
  <si>
    <t>-61658</t>
  </si>
  <si>
    <t>3110 - Kiosk salg</t>
  </si>
  <si>
    <t>3000 - Salgsinntekt handelsvarer, høy sats</t>
  </si>
  <si>
    <t>19288</t>
  </si>
  <si>
    <t>Beregnet resultat</t>
  </si>
  <si>
    <t>-2493826</t>
  </si>
  <si>
    <t>2050 - Annen egenkapital</t>
  </si>
  <si>
    <t>Annen egenkapital</t>
  </si>
  <si>
    <t>-2474538</t>
  </si>
  <si>
    <t>Sum annen egenkapital</t>
  </si>
  <si>
    <t>Sum egenkapital</t>
  </si>
  <si>
    <t>2674084</t>
  </si>
  <si>
    <t>2622132</t>
  </si>
  <si>
    <t>SUM EIENDELER</t>
  </si>
  <si>
    <t>1223471</t>
  </si>
  <si>
    <t>1235706</t>
  </si>
  <si>
    <t>1935 - Bank, 55.16614 Særvilkår</t>
  </si>
  <si>
    <t>250</t>
  </si>
  <si>
    <t>1925 - Budsjettkonto 2050.09.31303</t>
  </si>
  <si>
    <t>5232</t>
  </si>
  <si>
    <t>65921</t>
  </si>
  <si>
    <t>1924 - Bank, 21.47081 Gang &amp; turmasj</t>
  </si>
  <si>
    <t>359554</t>
  </si>
  <si>
    <t>44455</t>
  </si>
  <si>
    <t>1923 - Bank, 11.79109 Fotball</t>
  </si>
  <si>
    <t>155077</t>
  </si>
  <si>
    <t>169563</t>
  </si>
  <si>
    <t>1922 - Bank, 09.45010 Turn</t>
  </si>
  <si>
    <t>85545</t>
  </si>
  <si>
    <t>57714</t>
  </si>
  <si>
    <t>1921 - Bank, 09.34973 Ski</t>
  </si>
  <si>
    <t>258454</t>
  </si>
  <si>
    <t>515809</t>
  </si>
  <si>
    <t>1920 - Bank, 25.02612 Hovedlaget</t>
  </si>
  <si>
    <t>142641</t>
  </si>
  <si>
    <t>137381</t>
  </si>
  <si>
    <t>1919 - Bank, 27.96519 Sykkel</t>
  </si>
  <si>
    <t>2500</t>
  </si>
  <si>
    <t>12325</t>
  </si>
  <si>
    <t>1900 - Kontanter</t>
  </si>
  <si>
    <t>2232724</t>
  </si>
  <si>
    <t>2239123</t>
  </si>
  <si>
    <t>Bankinnskudd, kontanter og lignende</t>
  </si>
  <si>
    <t>2101</t>
  </si>
  <si>
    <t>1743 - Forskuddsbetalt forsikring</t>
  </si>
  <si>
    <t>1742 - Forskuddsbetalt strøm, varme mv.</t>
  </si>
  <si>
    <t>1579 - Andre kortsiktige fordringer</t>
  </si>
  <si>
    <t>Andre fordringer</t>
  </si>
  <si>
    <t>53715</t>
  </si>
  <si>
    <t>1501 - Kundefordringer, 1.1.2015</t>
  </si>
  <si>
    <t>96800</t>
  </si>
  <si>
    <t>62282</t>
  </si>
  <si>
    <t>1500 - Kundefordringer</t>
  </si>
  <si>
    <t>115997</t>
  </si>
  <si>
    <t>Kundefordringer</t>
  </si>
  <si>
    <t>98901</t>
  </si>
  <si>
    <t>Sum fordringer</t>
  </si>
  <si>
    <t>2331625</t>
  </si>
  <si>
    <t>2355120</t>
  </si>
  <si>
    <t>Sum omløpsmidler</t>
  </si>
  <si>
    <t>8697</t>
  </si>
  <si>
    <t>1250 - Inventar</t>
  </si>
  <si>
    <t>Driftsløsøre, inventar, verktøy, kontormaskiner og lignende</t>
  </si>
  <si>
    <t>333762</t>
  </si>
  <si>
    <t>267012</t>
  </si>
  <si>
    <t>1200 - Maskiner og anlegg</t>
  </si>
  <si>
    <t>Maskiner og anlegg</t>
  </si>
  <si>
    <t>342459</t>
  </si>
  <si>
    <t>Sum varige driftsmidler</t>
  </si>
  <si>
    <t>Sum anleggsmidler</t>
  </si>
  <si>
    <t>I fjor trend periode</t>
  </si>
  <si>
    <t>UB 2016</t>
  </si>
  <si>
    <t>UB 2017</t>
  </si>
  <si>
    <t>Beskrivelse</t>
  </si>
  <si>
    <t>Endirng fra 2016</t>
  </si>
  <si>
    <t>inkluderer tomteleie til Narum</t>
  </si>
  <si>
    <t>Regnskapsanalyse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</si>
</sst>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\ %"/>
    <numFmt numFmtId="166" formatCode="#,##0.0"/>
  </numFmts>
  <fonts count="33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i/>
      <sz val="11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0"/>
      <color rgb="FFFF0000"/>
      <name val="Arial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42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/>
  </cellStyleXfs>
  <cellXfs count="28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3" fontId="0" fillId="0" borderId="0" xfId="0" applyNumberFormat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Fill="1"/>
    <xf numFmtId="3" fontId="4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3" fontId="0" fillId="0" borderId="1" xfId="0" applyNumberFormat="1" applyBorder="1"/>
    <xf numFmtId="0" fontId="0" fillId="4" borderId="0" xfId="0" applyFill="1" applyBorder="1"/>
    <xf numFmtId="3" fontId="0" fillId="4" borderId="0" xfId="0" applyNumberFormat="1" applyFill="1" applyBorder="1"/>
    <xf numFmtId="0" fontId="6" fillId="4" borderId="0" xfId="0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/>
    <xf numFmtId="3" fontId="0" fillId="4" borderId="0" xfId="0" applyNumberFormat="1" applyFill="1" applyBorder="1" applyAlignment="1">
      <alignment horizontal="right"/>
    </xf>
    <xf numFmtId="3" fontId="6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3" fontId="7" fillId="0" borderId="1" xfId="0" applyNumberFormat="1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3" fontId="9" fillId="0" borderId="1" xfId="0" applyNumberFormat="1" applyFont="1" applyBorder="1"/>
    <xf numFmtId="3" fontId="3" fillId="0" borderId="1" xfId="0" applyNumberFormat="1" applyFont="1" applyBorder="1"/>
    <xf numFmtId="0" fontId="9" fillId="3" borderId="1" xfId="0" applyFont="1" applyFill="1" applyBorder="1"/>
    <xf numFmtId="3" fontId="9" fillId="3" borderId="1" xfId="0" applyNumberFormat="1" applyFont="1" applyFill="1" applyBorder="1"/>
    <xf numFmtId="3" fontId="3" fillId="3" borderId="1" xfId="0" applyNumberFormat="1" applyFont="1" applyFill="1" applyBorder="1"/>
    <xf numFmtId="0" fontId="3" fillId="0" borderId="1" xfId="0" applyFont="1" applyBorder="1"/>
    <xf numFmtId="0" fontId="10" fillId="3" borderId="1" xfId="0" applyFont="1" applyFill="1" applyBorder="1"/>
    <xf numFmtId="3" fontId="10" fillId="3" borderId="1" xfId="0" applyNumberFormat="1" applyFont="1" applyFill="1" applyBorder="1"/>
    <xf numFmtId="0" fontId="8" fillId="3" borderId="1" xfId="0" applyFont="1" applyFill="1" applyBorder="1"/>
    <xf numFmtId="3" fontId="8" fillId="3" borderId="1" xfId="0" applyNumberFormat="1" applyFont="1" applyFill="1" applyBorder="1"/>
    <xf numFmtId="3" fontId="4" fillId="5" borderId="1" xfId="0" applyNumberFormat="1" applyFont="1" applyFill="1" applyBorder="1"/>
    <xf numFmtId="0" fontId="1" fillId="4" borderId="0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0" fontId="4" fillId="0" borderId="2" xfId="0" applyFont="1" applyBorder="1"/>
    <xf numFmtId="3" fontId="4" fillId="0" borderId="2" xfId="0" applyNumberFormat="1" applyFont="1" applyBorder="1"/>
    <xf numFmtId="3" fontId="4" fillId="2" borderId="2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7" fillId="0" borderId="10" xfId="0" applyFont="1" applyBorder="1"/>
    <xf numFmtId="3" fontId="7" fillId="0" borderId="11" xfId="0" applyNumberFormat="1" applyFont="1" applyBorder="1"/>
    <xf numFmtId="3" fontId="10" fillId="4" borderId="12" xfId="0" applyNumberFormat="1" applyFont="1" applyFill="1" applyBorder="1"/>
    <xf numFmtId="0" fontId="0" fillId="3" borderId="13" xfId="0" applyFill="1" applyBorder="1"/>
    <xf numFmtId="0" fontId="1" fillId="3" borderId="7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0" fontId="0" fillId="3" borderId="6" xfId="0" applyFont="1" applyFill="1" applyBorder="1"/>
    <xf numFmtId="0" fontId="0" fillId="5" borderId="1" xfId="0" applyFill="1" applyBorder="1"/>
    <xf numFmtId="3" fontId="4" fillId="5" borderId="1" xfId="0" applyNumberFormat="1" applyFont="1" applyFill="1" applyBorder="1" applyAlignment="1">
      <alignment horizontal="right"/>
    </xf>
    <xf numFmtId="0" fontId="6" fillId="4" borderId="1" xfId="0" applyFont="1" applyFill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3" fillId="0" borderId="17" xfId="0" applyFont="1" applyBorder="1"/>
    <xf numFmtId="0" fontId="0" fillId="0" borderId="19" xfId="0" applyBorder="1"/>
    <xf numFmtId="0" fontId="0" fillId="0" borderId="2" xfId="0" applyBorder="1"/>
    <xf numFmtId="0" fontId="0" fillId="0" borderId="21" xfId="0" applyBorder="1"/>
    <xf numFmtId="0" fontId="0" fillId="0" borderId="21" xfId="0" quotePrefix="1" applyBorder="1"/>
    <xf numFmtId="3" fontId="0" fillId="0" borderId="19" xfId="0" applyNumberFormat="1" applyBorder="1"/>
    <xf numFmtId="3" fontId="0" fillId="0" borderId="2" xfId="0" applyNumberFormat="1" applyBorder="1"/>
    <xf numFmtId="0" fontId="0" fillId="0" borderId="23" xfId="0" quotePrefix="1" applyBorder="1"/>
    <xf numFmtId="0" fontId="0" fillId="0" borderId="24" xfId="0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4" fillId="0" borderId="21" xfId="0" applyFont="1" applyBorder="1"/>
    <xf numFmtId="0" fontId="14" fillId="0" borderId="16" xfId="0" applyFont="1" applyBorder="1"/>
    <xf numFmtId="0" fontId="14" fillId="0" borderId="22" xfId="0" applyFont="1" applyBorder="1" applyAlignment="1">
      <alignment horizontal="right"/>
    </xf>
    <xf numFmtId="3" fontId="0" fillId="0" borderId="0" xfId="0" applyNumberFormat="1" applyBorder="1"/>
    <xf numFmtId="0" fontId="14" fillId="0" borderId="0" xfId="0" applyFont="1" applyBorder="1"/>
    <xf numFmtId="0" fontId="13" fillId="0" borderId="18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4" fillId="0" borderId="26" xfId="0" applyFont="1" applyBorder="1"/>
    <xf numFmtId="0" fontId="13" fillId="0" borderId="29" xfId="0" applyFont="1" applyBorder="1"/>
    <xf numFmtId="0" fontId="13" fillId="0" borderId="20" xfId="0" applyFont="1" applyBorder="1" applyAlignment="1">
      <alignment horizontal="right"/>
    </xf>
    <xf numFmtId="0" fontId="13" fillId="0" borderId="30" xfId="0" applyFont="1" applyBorder="1" applyAlignment="1">
      <alignment horizontal="right"/>
    </xf>
    <xf numFmtId="3" fontId="0" fillId="0" borderId="29" xfId="0" applyNumberFormat="1" applyBorder="1"/>
    <xf numFmtId="3" fontId="0" fillId="0" borderId="23" xfId="0" applyNumberFormat="1" applyBorder="1"/>
    <xf numFmtId="3" fontId="0" fillId="0" borderId="31" xfId="0" applyNumberFormat="1" applyBorder="1"/>
    <xf numFmtId="0" fontId="14" fillId="0" borderId="25" xfId="0" applyFont="1" applyBorder="1"/>
    <xf numFmtId="0" fontId="0" fillId="0" borderId="32" xfId="0" applyBorder="1"/>
    <xf numFmtId="0" fontId="0" fillId="0" borderId="33" xfId="0" applyBorder="1"/>
    <xf numFmtId="0" fontId="0" fillId="0" borderId="0" xfId="0" applyBorder="1"/>
    <xf numFmtId="0" fontId="13" fillId="0" borderId="23" xfId="0" applyFont="1" applyBorder="1"/>
    <xf numFmtId="0" fontId="13" fillId="0" borderId="24" xfId="0" applyFont="1" applyBorder="1"/>
    <xf numFmtId="0" fontId="0" fillId="0" borderId="35" xfId="0" applyBorder="1"/>
    <xf numFmtId="0" fontId="13" fillId="0" borderId="2" xfId="0" applyFont="1" applyBorder="1"/>
    <xf numFmtId="0" fontId="0" fillId="0" borderId="23" xfId="0" applyBorder="1"/>
    <xf numFmtId="0" fontId="0" fillId="0" borderId="10" xfId="0" quotePrefix="1" applyBorder="1"/>
    <xf numFmtId="0" fontId="0" fillId="0" borderId="12" xfId="0" applyBorder="1"/>
    <xf numFmtId="0" fontId="13" fillId="0" borderId="10" xfId="0" applyFont="1" applyBorder="1"/>
    <xf numFmtId="0" fontId="13" fillId="0" borderId="12" xfId="0" applyFont="1" applyBorder="1"/>
    <xf numFmtId="0" fontId="13" fillId="0" borderId="1" xfId="0" applyFont="1" applyBorder="1"/>
    <xf numFmtId="3" fontId="13" fillId="0" borderId="2" xfId="0" applyNumberFormat="1" applyFont="1" applyBorder="1"/>
    <xf numFmtId="3" fontId="13" fillId="0" borderId="1" xfId="0" applyNumberFormat="1" applyFont="1" applyBorder="1"/>
    <xf numFmtId="0" fontId="14" fillId="0" borderId="27" xfId="0" applyFont="1" applyBorder="1"/>
    <xf numFmtId="0" fontId="14" fillId="0" borderId="34" xfId="0" applyFont="1" applyBorder="1" applyAlignment="1">
      <alignment horizontal="right"/>
    </xf>
    <xf numFmtId="0" fontId="0" fillId="0" borderId="2" xfId="0" applyFont="1" applyBorder="1"/>
    <xf numFmtId="3" fontId="0" fillId="0" borderId="2" xfId="0" applyNumberFormat="1" applyFont="1" applyBorder="1"/>
    <xf numFmtId="0" fontId="0" fillId="0" borderId="1" xfId="0" applyFont="1" applyBorder="1"/>
    <xf numFmtId="3" fontId="0" fillId="0" borderId="1" xfId="0" applyNumberFormat="1" applyFont="1" applyBorder="1"/>
    <xf numFmtId="0" fontId="13" fillId="0" borderId="28" xfId="0" applyFont="1" applyBorder="1" applyAlignment="1">
      <alignment horizontal="right"/>
    </xf>
    <xf numFmtId="0" fontId="16" fillId="0" borderId="0" xfId="0" applyFont="1"/>
    <xf numFmtId="0" fontId="14" fillId="0" borderId="28" xfId="0" applyFont="1" applyBorder="1" applyAlignment="1">
      <alignment horizontal="right"/>
    </xf>
    <xf numFmtId="0" fontId="17" fillId="0" borderId="0" xfId="0" applyFont="1"/>
    <xf numFmtId="3" fontId="4" fillId="4" borderId="1" xfId="0" applyNumberFormat="1" applyFont="1" applyFill="1" applyBorder="1"/>
    <xf numFmtId="3" fontId="4" fillId="0" borderId="2" xfId="0" applyNumberFormat="1" applyFont="1" applyBorder="1"/>
    <xf numFmtId="3" fontId="4" fillId="0" borderId="1" xfId="0" applyNumberFormat="1" applyFont="1" applyBorder="1"/>
    <xf numFmtId="3" fontId="6" fillId="0" borderId="10" xfId="0" applyNumberFormat="1" applyFont="1" applyBorder="1"/>
    <xf numFmtId="3" fontId="10" fillId="4" borderId="0" xfId="0" applyNumberFormat="1" applyFont="1" applyFill="1" applyBorder="1"/>
    <xf numFmtId="3" fontId="4" fillId="0" borderId="2" xfId="0" applyNumberFormat="1" applyFont="1" applyBorder="1"/>
    <xf numFmtId="0" fontId="0" fillId="0" borderId="1" xfId="0" applyBorder="1"/>
    <xf numFmtId="3" fontId="4" fillId="0" borderId="1" xfId="0" applyNumberFormat="1" applyFont="1" applyBorder="1"/>
    <xf numFmtId="3" fontId="0" fillId="0" borderId="1" xfId="0" applyNumberFormat="1" applyBorder="1"/>
    <xf numFmtId="3" fontId="10" fillId="3" borderId="1" xfId="0" applyNumberFormat="1" applyFont="1" applyFill="1" applyBorder="1"/>
    <xf numFmtId="3" fontId="6" fillId="4" borderId="0" xfId="0" applyNumberFormat="1" applyFont="1" applyFill="1" applyBorder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3" fontId="9" fillId="0" borderId="1" xfId="0" applyNumberFormat="1" applyFont="1" applyBorder="1"/>
    <xf numFmtId="3" fontId="3" fillId="0" borderId="1" xfId="0" applyNumberFormat="1" applyFont="1" applyBorder="1"/>
    <xf numFmtId="0" fontId="0" fillId="0" borderId="0" xfId="0"/>
    <xf numFmtId="0" fontId="18" fillId="0" borderId="0" xfId="0" applyFont="1"/>
    <xf numFmtId="0" fontId="18" fillId="0" borderId="0" xfId="0" applyFont="1" applyAlignment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3" fontId="9" fillId="0" borderId="1" xfId="0" applyNumberFormat="1" applyFont="1" applyBorder="1"/>
    <xf numFmtId="3" fontId="3" fillId="0" borderId="1" xfId="0" applyNumberFormat="1" applyFont="1" applyBorder="1"/>
    <xf numFmtId="3" fontId="9" fillId="3" borderId="1" xfId="0" applyNumberFormat="1" applyFont="1" applyFill="1" applyBorder="1"/>
    <xf numFmtId="3" fontId="3" fillId="3" borderId="1" xfId="0" applyNumberFormat="1" applyFont="1" applyFill="1" applyBorder="1"/>
    <xf numFmtId="3" fontId="10" fillId="3" borderId="1" xfId="0" applyNumberFormat="1" applyFont="1" applyFill="1" applyBorder="1"/>
    <xf numFmtId="3" fontId="8" fillId="3" borderId="1" xfId="0" applyNumberFormat="1" applyFont="1" applyFill="1" applyBorder="1"/>
    <xf numFmtId="0" fontId="0" fillId="0" borderId="0" xfId="0"/>
    <xf numFmtId="4" fontId="0" fillId="0" borderId="0" xfId="0" applyNumberFormat="1"/>
    <xf numFmtId="0" fontId="19" fillId="4" borderId="0" xfId="0" applyFont="1" applyFill="1" applyBorder="1"/>
    <xf numFmtId="0" fontId="3" fillId="4" borderId="0" xfId="0" applyFont="1" applyFill="1" applyBorder="1" applyAlignment="1">
      <alignment horizontal="right"/>
    </xf>
    <xf numFmtId="4" fontId="19" fillId="4" borderId="0" xfId="0" applyNumberFormat="1" applyFont="1" applyFill="1" applyBorder="1"/>
    <xf numFmtId="4" fontId="9" fillId="4" borderId="0" xfId="0" applyNumberFormat="1" applyFont="1" applyFill="1" applyBorder="1"/>
    <xf numFmtId="3" fontId="5" fillId="5" borderId="1" xfId="0" applyNumberFormat="1" applyFont="1" applyFill="1" applyBorder="1"/>
    <xf numFmtId="3" fontId="0" fillId="0" borderId="35" xfId="0" applyNumberFormat="1" applyBorder="1"/>
    <xf numFmtId="0" fontId="11" fillId="3" borderId="5" xfId="0" applyFont="1" applyFill="1" applyBorder="1" applyAlignment="1">
      <alignment horizontal="left"/>
    </xf>
    <xf numFmtId="0" fontId="5" fillId="5" borderId="1" xfId="0" applyFont="1" applyFill="1" applyBorder="1"/>
    <xf numFmtId="3" fontId="5" fillId="5" borderId="1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8" fillId="5" borderId="1" xfId="0" applyFont="1" applyFill="1" applyBorder="1"/>
    <xf numFmtId="3" fontId="10" fillId="5" borderId="2" xfId="0" applyNumberFormat="1" applyFont="1" applyFill="1" applyBorder="1"/>
    <xf numFmtId="3" fontId="7" fillId="5" borderId="1" xfId="0" applyNumberFormat="1" applyFont="1" applyFill="1" applyBorder="1"/>
    <xf numFmtId="3" fontId="6" fillId="5" borderId="1" xfId="0" applyNumberFormat="1" applyFont="1" applyFill="1" applyBorder="1"/>
    <xf numFmtId="3" fontId="8" fillId="5" borderId="1" xfId="0" applyNumberFormat="1" applyFont="1" applyFill="1" applyBorder="1"/>
    <xf numFmtId="3" fontId="4" fillId="4" borderId="2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0" fontId="0" fillId="4" borderId="1" xfId="0" applyFill="1" applyBorder="1"/>
    <xf numFmtId="0" fontId="11" fillId="3" borderId="7" xfId="0" applyFont="1" applyFill="1" applyBorder="1"/>
    <xf numFmtId="0" fontId="20" fillId="3" borderId="7" xfId="0" applyFont="1" applyFill="1" applyBorder="1"/>
    <xf numFmtId="0" fontId="3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3" fontId="0" fillId="0" borderId="10" xfId="0" applyNumberFormat="1" applyBorder="1"/>
    <xf numFmtId="3" fontId="3" fillId="3" borderId="10" xfId="0" applyNumberFormat="1" applyFont="1" applyFill="1" applyBorder="1"/>
    <xf numFmtId="3" fontId="7" fillId="0" borderId="10" xfId="0" applyNumberFormat="1" applyFont="1" applyBorder="1"/>
    <xf numFmtId="3" fontId="10" fillId="4" borderId="1" xfId="0" applyNumberFormat="1" applyFont="1" applyFill="1" applyBorder="1"/>
    <xf numFmtId="0" fontId="3" fillId="0" borderId="17" xfId="0" applyFont="1" applyBorder="1"/>
    <xf numFmtId="0" fontId="3" fillId="0" borderId="36" xfId="0" applyFont="1" applyBorder="1"/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center"/>
    </xf>
    <xf numFmtId="0" fontId="0" fillId="0" borderId="0" xfId="0" applyFont="1"/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3" fontId="9" fillId="4" borderId="1" xfId="0" applyNumberFormat="1" applyFont="1" applyFill="1" applyBorder="1"/>
    <xf numFmtId="3" fontId="0" fillId="4" borderId="1" xfId="0" applyNumberFormat="1" applyFill="1" applyBorder="1"/>
    <xf numFmtId="3" fontId="7" fillId="4" borderId="1" xfId="0" applyNumberFormat="1" applyFont="1" applyFill="1" applyBorder="1"/>
    <xf numFmtId="3" fontId="19" fillId="4" borderId="1" xfId="0" applyNumberFormat="1" applyFont="1" applyFill="1" applyBorder="1"/>
    <xf numFmtId="0" fontId="0" fillId="0" borderId="0" xfId="0" applyAlignment="1">
      <alignment horizontal="right"/>
    </xf>
    <xf numFmtId="3" fontId="10" fillId="3" borderId="10" xfId="0" applyNumberFormat="1" applyFont="1" applyFill="1" applyBorder="1"/>
    <xf numFmtId="3" fontId="8" fillId="3" borderId="10" xfId="0" applyNumberFormat="1" applyFont="1" applyFill="1" applyBorder="1"/>
    <xf numFmtId="3" fontId="9" fillId="4" borderId="0" xfId="0" applyNumberFormat="1" applyFont="1" applyFill="1" applyBorder="1"/>
    <xf numFmtId="3" fontId="3" fillId="4" borderId="0" xfId="0" applyNumberFormat="1" applyFont="1" applyFill="1" applyBorder="1"/>
    <xf numFmtId="0" fontId="7" fillId="4" borderId="0" xfId="0" applyFont="1" applyFill="1" applyBorder="1"/>
    <xf numFmtId="3" fontId="7" fillId="4" borderId="0" xfId="0" applyNumberFormat="1" applyFont="1" applyFill="1" applyBorder="1"/>
    <xf numFmtId="3" fontId="8" fillId="4" borderId="0" xfId="0" applyNumberFormat="1" applyFont="1" applyFill="1" applyBorder="1"/>
    <xf numFmtId="0" fontId="3" fillId="0" borderId="11" xfId="0" applyFont="1" applyBorder="1"/>
    <xf numFmtId="0" fontId="3" fillId="0" borderId="37" xfId="0" applyFont="1" applyBorder="1"/>
    <xf numFmtId="0" fontId="3" fillId="6" borderId="0" xfId="0" applyFont="1" applyFill="1" applyBorder="1"/>
    <xf numFmtId="0" fontId="20" fillId="3" borderId="6" xfId="0" applyFont="1" applyFill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9" fillId="0" borderId="1" xfId="0" applyNumberFormat="1" applyFont="1" applyFill="1" applyBorder="1"/>
    <xf numFmtId="3" fontId="4" fillId="0" borderId="1" xfId="0" applyNumberFormat="1" applyFont="1" applyFill="1" applyBorder="1"/>
    <xf numFmtId="0" fontId="3" fillId="3" borderId="0" xfId="0" applyFont="1" applyFill="1" applyBorder="1" applyAlignment="1">
      <alignment horizontal="right"/>
    </xf>
    <xf numFmtId="3" fontId="3" fillId="3" borderId="0" xfId="0" applyNumberFormat="1" applyFont="1" applyFill="1" applyBorder="1"/>
    <xf numFmtId="3" fontId="10" fillId="3" borderId="0" xfId="0" applyNumberFormat="1" applyFont="1" applyFill="1" applyBorder="1"/>
    <xf numFmtId="3" fontId="8" fillId="3" borderId="0" xfId="0" applyNumberFormat="1" applyFont="1" applyFill="1" applyBorder="1"/>
    <xf numFmtId="3" fontId="4" fillId="0" borderId="0" xfId="0" applyNumberFormat="1" applyFont="1" applyBorder="1"/>
    <xf numFmtId="3" fontId="9" fillId="3" borderId="0" xfId="0" applyNumberFormat="1" applyFont="1" applyFill="1" applyBorder="1"/>
    <xf numFmtId="3" fontId="9" fillId="7" borderId="1" xfId="0" applyNumberFormat="1" applyFont="1" applyFill="1" applyBorder="1"/>
    <xf numFmtId="3" fontId="6" fillId="7" borderId="1" xfId="0" applyNumberFormat="1" applyFont="1" applyFill="1" applyBorder="1"/>
    <xf numFmtId="3" fontId="19" fillId="7" borderId="1" xfId="0" applyNumberFormat="1" applyFont="1" applyFill="1" applyBorder="1"/>
    <xf numFmtId="3" fontId="0" fillId="7" borderId="1" xfId="0" applyNumberFormat="1" applyFill="1" applyBorder="1"/>
    <xf numFmtId="3" fontId="0" fillId="7" borderId="10" xfId="0" applyNumberFormat="1" applyFill="1" applyBorder="1"/>
    <xf numFmtId="0" fontId="0" fillId="0" borderId="0" xfId="0" applyAlignment="1">
      <alignment horizontal="left"/>
    </xf>
    <xf numFmtId="164" fontId="0" fillId="0" borderId="0" xfId="83" applyNumberFormat="1" applyFont="1"/>
    <xf numFmtId="164" fontId="0" fillId="7" borderId="0" xfId="0" applyNumberFormat="1" applyFill="1" applyAlignment="1">
      <alignment horizontal="left" vertical="top" indent="1"/>
    </xf>
    <xf numFmtId="164" fontId="4" fillId="0" borderId="0" xfId="0" applyNumberFormat="1" applyFont="1"/>
    <xf numFmtId="0" fontId="3" fillId="3" borderId="0" xfId="0" applyFont="1" applyFill="1" applyBorder="1" applyAlignment="1">
      <alignment horizontal="center" wrapText="1"/>
    </xf>
    <xf numFmtId="165" fontId="0" fillId="0" borderId="0" xfId="214" applyNumberFormat="1" applyFont="1"/>
    <xf numFmtId="165" fontId="0" fillId="8" borderId="0" xfId="214" applyNumberFormat="1" applyFont="1" applyFill="1"/>
    <xf numFmtId="3" fontId="5" fillId="5" borderId="0" xfId="0" applyNumberFormat="1" applyFont="1" applyFill="1" applyBorder="1" applyAlignment="1">
      <alignment horizontal="right"/>
    </xf>
    <xf numFmtId="3" fontId="5" fillId="5" borderId="0" xfId="0" applyNumberFormat="1" applyFont="1" applyFill="1" applyBorder="1"/>
    <xf numFmtId="165" fontId="18" fillId="0" borderId="0" xfId="214" applyNumberFormat="1" applyFont="1"/>
    <xf numFmtId="0" fontId="3" fillId="9" borderId="15" xfId="0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right"/>
    </xf>
    <xf numFmtId="3" fontId="27" fillId="8" borderId="1" xfId="0" applyNumberFormat="1" applyFont="1" applyFill="1" applyBorder="1"/>
    <xf numFmtId="0" fontId="28" fillId="0" borderId="0" xfId="241"/>
    <xf numFmtId="0" fontId="28" fillId="0" borderId="0" xfId="241" applyFont="1"/>
    <xf numFmtId="166" fontId="0" fillId="0" borderId="0" xfId="0" applyNumberFormat="1"/>
    <xf numFmtId="166" fontId="3" fillId="3" borderId="0" xfId="0" applyNumberFormat="1" applyFont="1" applyFill="1" applyBorder="1" applyAlignment="1">
      <alignment horizontal="center"/>
    </xf>
    <xf numFmtId="166" fontId="4" fillId="4" borderId="2" xfId="0" applyNumberFormat="1" applyFont="1" applyFill="1" applyBorder="1" applyAlignment="1">
      <alignment horizontal="right"/>
    </xf>
    <xf numFmtId="166" fontId="5" fillId="5" borderId="1" xfId="0" applyNumberFormat="1" applyFont="1" applyFill="1" applyBorder="1" applyAlignment="1">
      <alignment horizontal="right"/>
    </xf>
    <xf numFmtId="166" fontId="4" fillId="4" borderId="1" xfId="0" applyNumberFormat="1" applyFont="1" applyFill="1" applyBorder="1" applyAlignment="1">
      <alignment horizontal="right"/>
    </xf>
    <xf numFmtId="166" fontId="5" fillId="5" borderId="1" xfId="0" applyNumberFormat="1" applyFont="1" applyFill="1" applyBorder="1"/>
    <xf numFmtId="166" fontId="4" fillId="2" borderId="0" xfId="0" applyNumberFormat="1" applyFont="1" applyFill="1" applyBorder="1" applyAlignment="1">
      <alignment horizontal="right"/>
    </xf>
    <xf numFmtId="166" fontId="0" fillId="5" borderId="0" xfId="0" applyNumberFormat="1" applyFill="1" applyBorder="1"/>
    <xf numFmtId="166" fontId="8" fillId="5" borderId="1" xfId="0" applyNumberFormat="1" applyFont="1" applyFill="1" applyBorder="1"/>
    <xf numFmtId="166" fontId="4" fillId="5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center" wrapText="1"/>
    </xf>
    <xf numFmtId="3" fontId="4" fillId="0" borderId="23" xfId="0" applyNumberFormat="1" applyFont="1" applyBorder="1"/>
    <xf numFmtId="3" fontId="26" fillId="0" borderId="23" xfId="0" applyNumberFormat="1" applyFont="1" applyBorder="1"/>
    <xf numFmtId="3" fontId="6" fillId="5" borderId="10" xfId="0" applyNumberFormat="1" applyFont="1" applyFill="1" applyBorder="1"/>
    <xf numFmtId="3" fontId="4" fillId="0" borderId="10" xfId="0" applyNumberFormat="1" applyFont="1" applyBorder="1"/>
    <xf numFmtId="3" fontId="4" fillId="5" borderId="10" xfId="0" applyNumberFormat="1" applyFont="1" applyFill="1" applyBorder="1"/>
    <xf numFmtId="0" fontId="0" fillId="0" borderId="10" xfId="0" applyBorder="1"/>
    <xf numFmtId="3" fontId="10" fillId="5" borderId="10" xfId="0" applyNumberFormat="1" applyFont="1" applyFill="1" applyBorder="1"/>
    <xf numFmtId="3" fontId="10" fillId="5" borderId="23" xfId="0" applyNumberFormat="1" applyFont="1" applyFill="1" applyBorder="1"/>
    <xf numFmtId="0" fontId="11" fillId="3" borderId="26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4" fillId="4" borderId="40" xfId="0" applyNumberFormat="1" applyFont="1" applyFill="1" applyBorder="1" applyAlignment="1">
      <alignment horizontal="right"/>
    </xf>
    <xf numFmtId="3" fontId="0" fillId="9" borderId="0" xfId="0" applyNumberFormat="1" applyFill="1" applyBorder="1"/>
    <xf numFmtId="3" fontId="5" fillId="5" borderId="41" xfId="0" applyNumberFormat="1" applyFont="1" applyFill="1" applyBorder="1" applyAlignment="1">
      <alignment horizontal="right"/>
    </xf>
    <xf numFmtId="3" fontId="4" fillId="4" borderId="41" xfId="0" applyNumberFormat="1" applyFont="1" applyFill="1" applyBorder="1" applyAlignment="1">
      <alignment horizontal="right"/>
    </xf>
    <xf numFmtId="3" fontId="5" fillId="5" borderId="41" xfId="0" applyNumberFormat="1" applyFont="1" applyFill="1" applyBorder="1"/>
    <xf numFmtId="0" fontId="0" fillId="4" borderId="41" xfId="0" applyFill="1" applyBorder="1"/>
    <xf numFmtId="0" fontId="0" fillId="5" borderId="39" xfId="0" applyFill="1" applyBorder="1"/>
    <xf numFmtId="3" fontId="10" fillId="5" borderId="41" xfId="0" applyNumberFormat="1" applyFont="1" applyFill="1" applyBorder="1"/>
    <xf numFmtId="3" fontId="8" fillId="5" borderId="42" xfId="0" applyNumberFormat="1" applyFont="1" applyFill="1" applyBorder="1"/>
    <xf numFmtId="3" fontId="4" fillId="5" borderId="39" xfId="0" applyNumberFormat="1" applyFont="1" applyFill="1" applyBorder="1" applyAlignment="1">
      <alignment horizontal="right"/>
    </xf>
    <xf numFmtId="3" fontId="8" fillId="5" borderId="14" xfId="0" applyNumberFormat="1" applyFont="1" applyFill="1" applyBorder="1"/>
    <xf numFmtId="3" fontId="4" fillId="10" borderId="39" xfId="0" applyNumberFormat="1" applyFont="1" applyFill="1" applyBorder="1" applyAlignment="1">
      <alignment horizontal="right"/>
    </xf>
    <xf numFmtId="3" fontId="5" fillId="10" borderId="42" xfId="0" applyNumberFormat="1" applyFont="1" applyFill="1" applyBorder="1"/>
    <xf numFmtId="0" fontId="3" fillId="10" borderId="39" xfId="0" applyFont="1" applyFill="1" applyBorder="1" applyAlignment="1">
      <alignment horizontal="center"/>
    </xf>
    <xf numFmtId="3" fontId="5" fillId="10" borderId="42" xfId="0" applyNumberFormat="1" applyFont="1" applyFill="1" applyBorder="1" applyAlignment="1">
      <alignment horizontal="right"/>
    </xf>
    <xf numFmtId="3" fontId="4" fillId="10" borderId="42" xfId="0" applyNumberFormat="1" applyFont="1" applyFill="1" applyBorder="1" applyAlignment="1">
      <alignment horizontal="right"/>
    </xf>
    <xf numFmtId="0" fontId="31" fillId="3" borderId="0" xfId="0" applyFont="1" applyFill="1" applyAlignment="1">
      <alignment horizontal="center"/>
    </xf>
    <xf numFmtId="3" fontId="32" fillId="5" borderId="44" xfId="0" applyNumberFormat="1" applyFont="1" applyFill="1" applyBorder="1"/>
    <xf numFmtId="166" fontId="32" fillId="5" borderId="14" xfId="0" applyNumberFormat="1" applyFont="1" applyFill="1" applyBorder="1"/>
    <xf numFmtId="3" fontId="32" fillId="5" borderId="43" xfId="0" applyNumberFormat="1" applyFont="1" applyFill="1" applyBorder="1"/>
  </cellXfs>
  <cellStyles count="242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5" builtinId="9" hidden="1"/>
    <cellStyle name="Benyttet hyperkobling" xfId="87" builtinId="9" hidden="1"/>
    <cellStyle name="Benyttet hyperkobling" xfId="89" builtinId="9" hidden="1"/>
    <cellStyle name="Benyttet hyperkobling" xfId="91" builtinId="9" hidden="1"/>
    <cellStyle name="Benyttet hyperkobling" xfId="93" builtinId="9" hidden="1"/>
    <cellStyle name="Benyttet hyperkobling" xfId="95" builtinId="9" hidden="1"/>
    <cellStyle name="Benyttet hyperkobling" xfId="97" builtinId="9" hidden="1"/>
    <cellStyle name="Benyttet hyperkobling" xfId="99" builtinId="9" hidden="1"/>
    <cellStyle name="Benyttet hyperkobling" xfId="101" builtinId="9" hidden="1"/>
    <cellStyle name="Benyttet hyperkobling" xfId="103" builtinId="9" hidden="1"/>
    <cellStyle name="Benyttet hyperkobling" xfId="105" builtinId="9" hidden="1"/>
    <cellStyle name="Benyttet hyperkobling" xfId="107" builtinId="9" hidden="1"/>
    <cellStyle name="Benyttet hyperkobling" xfId="109" builtinId="9" hidden="1"/>
    <cellStyle name="Benyttet hyperkobling" xfId="111" builtinId="9" hidden="1"/>
    <cellStyle name="Benyttet hyperkobling" xfId="113" builtinId="9" hidden="1"/>
    <cellStyle name="Benyttet hyperkobling" xfId="115" builtinId="9" hidden="1"/>
    <cellStyle name="Benyttet hyperkobling" xfId="117" builtinId="9" hidden="1"/>
    <cellStyle name="Benyttet hyperkobling" xfId="119" builtinId="9" hidden="1"/>
    <cellStyle name="Benyttet hyperkobling" xfId="121" builtinId="9" hidden="1"/>
    <cellStyle name="Benyttet hyperkobling" xfId="123" builtinId="9" hidden="1"/>
    <cellStyle name="Benyttet hyperkobling" xfId="125" builtinId="9" hidden="1"/>
    <cellStyle name="Benyttet hyperkobling" xfId="127" builtinId="9" hidden="1"/>
    <cellStyle name="Benyttet hyperkobling" xfId="129" builtinId="9" hidden="1"/>
    <cellStyle name="Benyttet hyperkobling" xfId="131" builtinId="9" hidden="1"/>
    <cellStyle name="Benyttet hyperkobling" xfId="133" builtinId="9" hidden="1"/>
    <cellStyle name="Benyttet hyperkobling" xfId="135" builtinId="9" hidden="1"/>
    <cellStyle name="Benyttet hyperkobling" xfId="137" builtinId="9" hidden="1"/>
    <cellStyle name="Benyttet hyperkobling" xfId="139" builtinId="9" hidden="1"/>
    <cellStyle name="Benyttet hyperkobling" xfId="141" builtinId="9" hidden="1"/>
    <cellStyle name="Benyttet hyperkobling" xfId="143" builtinId="9" hidden="1"/>
    <cellStyle name="Benyttet hyperkobling" xfId="145" builtinId="9" hidden="1"/>
    <cellStyle name="Benyttet hyperkobling" xfId="147" builtinId="9" hidden="1"/>
    <cellStyle name="Benyttet hyperkobling" xfId="149" builtinId="9" hidden="1"/>
    <cellStyle name="Benyttet hyperkobling" xfId="151" builtinId="9" hidden="1"/>
    <cellStyle name="Benyttet hyperkobling" xfId="153" builtinId="9" hidden="1"/>
    <cellStyle name="Benyttet hyperkobling" xfId="155" builtinId="9" hidden="1"/>
    <cellStyle name="Benyttet hyperkobling" xfId="157" builtinId="9" hidden="1"/>
    <cellStyle name="Benyttet hyperkobling" xfId="159" builtinId="9" hidden="1"/>
    <cellStyle name="Benyttet hyperkobling" xfId="161" builtinId="9" hidden="1"/>
    <cellStyle name="Benyttet hyperkobling" xfId="163" builtinId="9" hidden="1"/>
    <cellStyle name="Benyttet hyperkobling" xfId="165" builtinId="9" hidden="1"/>
    <cellStyle name="Benyttet hyperkobling" xfId="167" builtinId="9" hidden="1"/>
    <cellStyle name="Benyttet hyperkobling" xfId="169" builtinId="9" hidden="1"/>
    <cellStyle name="Benyttet hyperkobling" xfId="171" builtinId="9" hidden="1"/>
    <cellStyle name="Benyttet hyperkobling" xfId="173" builtinId="9" hidden="1"/>
    <cellStyle name="Benyttet hyperkobling" xfId="175" builtinId="9" hidden="1"/>
    <cellStyle name="Benyttet hyperkobling" xfId="177" builtinId="9" hidden="1"/>
    <cellStyle name="Benyttet hyperkobling" xfId="179" builtinId="9" hidden="1"/>
    <cellStyle name="Benyttet hyperkobling" xfId="181" builtinId="9" hidden="1"/>
    <cellStyle name="Benyttet hyperkobling" xfId="183" builtinId="9" hidden="1"/>
    <cellStyle name="Benyttet hyperkobling" xfId="185" builtinId="9" hidden="1"/>
    <cellStyle name="Benyttet hyperkobling" xfId="187" builtinId="9" hidden="1"/>
    <cellStyle name="Benyttet hyperkobling" xfId="189" builtinId="9" hidden="1"/>
    <cellStyle name="Benyttet hyperkobling" xfId="191" builtinId="9" hidden="1"/>
    <cellStyle name="Benyttet hyperkobling" xfId="193" builtinId="9" hidden="1"/>
    <cellStyle name="Benyttet hyperkobling" xfId="195" builtinId="9" hidden="1"/>
    <cellStyle name="Benyttet hyperkobling" xfId="197" builtinId="9" hidden="1"/>
    <cellStyle name="Benyttet hyperkobling" xfId="199" builtinId="9" hidden="1"/>
    <cellStyle name="Benyttet hyperkobling" xfId="201" builtinId="9" hidden="1"/>
    <cellStyle name="Benyttet hyperkobling" xfId="203" builtinId="9" hidden="1"/>
    <cellStyle name="Benyttet hyperkobling" xfId="205" builtinId="9" hidden="1"/>
    <cellStyle name="Benyttet hyperkobling" xfId="207" builtinId="9" hidden="1"/>
    <cellStyle name="Benyttet hyperkobling" xfId="209" builtinId="9" hidden="1"/>
    <cellStyle name="Benyttet hyperkobling" xfId="211" builtinId="9" hidden="1"/>
    <cellStyle name="Benyttet hyperkobling" xfId="213" builtinId="9" hidden="1"/>
    <cellStyle name="Benyttet hyperkobling" xfId="216" builtinId="9" hidden="1"/>
    <cellStyle name="Benyttet hyperkobling" xfId="218" builtinId="9" hidden="1"/>
    <cellStyle name="Benyttet hyperkobling" xfId="220" builtinId="9" hidden="1"/>
    <cellStyle name="Benyttet hyperkobling" xfId="222" builtinId="9" hidden="1"/>
    <cellStyle name="Benyttet hyperkobling" xfId="224" builtinId="9" hidden="1"/>
    <cellStyle name="Benyttet hyperkobling" xfId="226" builtinId="9" hidden="1"/>
    <cellStyle name="Benyttet hyperkobling" xfId="228" builtinId="9" hidden="1"/>
    <cellStyle name="Benyttet hyperkobling" xfId="230" builtinId="9" hidden="1"/>
    <cellStyle name="Benyttet hyperkobling" xfId="232" builtinId="9" hidden="1"/>
    <cellStyle name="Benyttet hyperkobling" xfId="234" builtinId="9" hidden="1"/>
    <cellStyle name="Benyttet hyperkobling" xfId="236" builtinId="9" hidden="1"/>
    <cellStyle name="Benyttet hyperkobling" xfId="238" builtinId="9" hidden="1"/>
    <cellStyle name="Benyttet hyperkobling" xfId="240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4" builtinId="8" hidden="1"/>
    <cellStyle name="Hyperkobling" xfId="86" builtinId="8" hidden="1"/>
    <cellStyle name="Hyperkobling" xfId="88" builtinId="8" hidden="1"/>
    <cellStyle name="Hyperkobling" xfId="90" builtinId="8" hidden="1"/>
    <cellStyle name="Hyperkobling" xfId="92" builtinId="8" hidden="1"/>
    <cellStyle name="Hyperkobling" xfId="94" builtinId="8" hidden="1"/>
    <cellStyle name="Hyperkobling" xfId="96" builtinId="8" hidden="1"/>
    <cellStyle name="Hyperkobling" xfId="98" builtinId="8" hidden="1"/>
    <cellStyle name="Hyperkobling" xfId="100" builtinId="8" hidden="1"/>
    <cellStyle name="Hyperkobling" xfId="102" builtinId="8" hidden="1"/>
    <cellStyle name="Hyperkobling" xfId="104" builtinId="8" hidden="1"/>
    <cellStyle name="Hyperkobling" xfId="106" builtinId="8" hidden="1"/>
    <cellStyle name="Hyperkobling" xfId="108" builtinId="8" hidden="1"/>
    <cellStyle name="Hyperkobling" xfId="110" builtinId="8" hidden="1"/>
    <cellStyle name="Hyperkobling" xfId="112" builtinId="8" hidden="1"/>
    <cellStyle name="Hyperkobling" xfId="114" builtinId="8" hidden="1"/>
    <cellStyle name="Hyperkobling" xfId="116" builtinId="8" hidden="1"/>
    <cellStyle name="Hyperkobling" xfId="118" builtinId="8" hidden="1"/>
    <cellStyle name="Hyperkobling" xfId="120" builtinId="8" hidden="1"/>
    <cellStyle name="Hyperkobling" xfId="122" builtinId="8" hidden="1"/>
    <cellStyle name="Hyperkobling" xfId="124" builtinId="8" hidden="1"/>
    <cellStyle name="Hyperkobling" xfId="126" builtinId="8" hidden="1"/>
    <cellStyle name="Hyperkobling" xfId="128" builtinId="8" hidden="1"/>
    <cellStyle name="Hyperkobling" xfId="130" builtinId="8" hidden="1"/>
    <cellStyle name="Hyperkobling" xfId="132" builtinId="8" hidden="1"/>
    <cellStyle name="Hyperkobling" xfId="134" builtinId="8" hidden="1"/>
    <cellStyle name="Hyperkobling" xfId="136" builtinId="8" hidden="1"/>
    <cellStyle name="Hyperkobling" xfId="138" builtinId="8" hidden="1"/>
    <cellStyle name="Hyperkobling" xfId="140" builtinId="8" hidden="1"/>
    <cellStyle name="Hyperkobling" xfId="142" builtinId="8" hidden="1"/>
    <cellStyle name="Hyperkobling" xfId="144" builtinId="8" hidden="1"/>
    <cellStyle name="Hyperkobling" xfId="146" builtinId="8" hidden="1"/>
    <cellStyle name="Hyperkobling" xfId="148" builtinId="8" hidden="1"/>
    <cellStyle name="Hyperkobling" xfId="150" builtinId="8" hidden="1"/>
    <cellStyle name="Hyperkobling" xfId="152" builtinId="8" hidden="1"/>
    <cellStyle name="Hyperkobling" xfId="154" builtinId="8" hidden="1"/>
    <cellStyle name="Hyperkobling" xfId="156" builtinId="8" hidden="1"/>
    <cellStyle name="Hyperkobling" xfId="158" builtinId="8" hidden="1"/>
    <cellStyle name="Hyperkobling" xfId="160" builtinId="8" hidden="1"/>
    <cellStyle name="Hyperkobling" xfId="162" builtinId="8" hidden="1"/>
    <cellStyle name="Hyperkobling" xfId="164" builtinId="8" hidden="1"/>
    <cellStyle name="Hyperkobling" xfId="166" builtinId="8" hidden="1"/>
    <cellStyle name="Hyperkobling" xfId="168" builtinId="8" hidden="1"/>
    <cellStyle name="Hyperkobling" xfId="170" builtinId="8" hidden="1"/>
    <cellStyle name="Hyperkobling" xfId="172" builtinId="8" hidden="1"/>
    <cellStyle name="Hyperkobling" xfId="174" builtinId="8" hidden="1"/>
    <cellStyle name="Hyperkobling" xfId="176" builtinId="8" hidden="1"/>
    <cellStyle name="Hyperkobling" xfId="178" builtinId="8" hidden="1"/>
    <cellStyle name="Hyperkobling" xfId="180" builtinId="8" hidden="1"/>
    <cellStyle name="Hyperkobling" xfId="182" builtinId="8" hidden="1"/>
    <cellStyle name="Hyperkobling" xfId="184" builtinId="8" hidden="1"/>
    <cellStyle name="Hyperkobling" xfId="186" builtinId="8" hidden="1"/>
    <cellStyle name="Hyperkobling" xfId="188" builtinId="8" hidden="1"/>
    <cellStyle name="Hyperkobling" xfId="190" builtinId="8" hidden="1"/>
    <cellStyle name="Hyperkobling" xfId="192" builtinId="8" hidden="1"/>
    <cellStyle name="Hyperkobling" xfId="194" builtinId="8" hidden="1"/>
    <cellStyle name="Hyperkobling" xfId="196" builtinId="8" hidden="1"/>
    <cellStyle name="Hyperkobling" xfId="198" builtinId="8" hidden="1"/>
    <cellStyle name="Hyperkobling" xfId="200" builtinId="8" hidden="1"/>
    <cellStyle name="Hyperkobling" xfId="202" builtinId="8" hidden="1"/>
    <cellStyle name="Hyperkobling" xfId="204" builtinId="8" hidden="1"/>
    <cellStyle name="Hyperkobling" xfId="206" builtinId="8" hidden="1"/>
    <cellStyle name="Hyperkobling" xfId="208" builtinId="8" hidden="1"/>
    <cellStyle name="Hyperkobling" xfId="210" builtinId="8" hidden="1"/>
    <cellStyle name="Hyperkobling" xfId="212" builtinId="8" hidden="1"/>
    <cellStyle name="Hyperkobling" xfId="215" builtinId="8" hidden="1"/>
    <cellStyle name="Hyperkobling" xfId="217" builtinId="8" hidden="1"/>
    <cellStyle name="Hyperkobling" xfId="219" builtinId="8" hidden="1"/>
    <cellStyle name="Hyperkobling" xfId="221" builtinId="8" hidden="1"/>
    <cellStyle name="Hyperkobling" xfId="223" builtinId="8" hidden="1"/>
    <cellStyle name="Hyperkobling" xfId="225" builtinId="8" hidden="1"/>
    <cellStyle name="Hyperkobling" xfId="227" builtinId="8" hidden="1"/>
    <cellStyle name="Hyperkobling" xfId="229" builtinId="8" hidden="1"/>
    <cellStyle name="Hyperkobling" xfId="231" builtinId="8" hidden="1"/>
    <cellStyle name="Hyperkobling" xfId="233" builtinId="8" hidden="1"/>
    <cellStyle name="Hyperkobling" xfId="235" builtinId="8" hidden="1"/>
    <cellStyle name="Hyperkobling" xfId="237" builtinId="8" hidden="1"/>
    <cellStyle name="Hyperkobling" xfId="239" builtinId="8" hidden="1"/>
    <cellStyle name="Komma" xfId="83" builtinId="3"/>
    <cellStyle name="Normal" xfId="0" builtinId="0"/>
    <cellStyle name="Normal 2" xfId="241" xr:uid="{99E47B27-4339-394E-A0AC-56CB35645E4D}"/>
    <cellStyle name="Prosent" xfId="21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J6" sqref="J6"/>
    </sheetView>
  </sheetViews>
  <sheetFormatPr baseColWidth="10" defaultRowHeight="15" x14ac:dyDescent="0.2"/>
  <cols>
    <col min="1" max="1" width="8" customWidth="1"/>
    <col min="2" max="2" width="28.83203125" customWidth="1"/>
    <col min="3" max="3" width="7" style="142" customWidth="1"/>
    <col min="4" max="4" width="14.5" bestFit="1" customWidth="1"/>
    <col min="5" max="5" width="15.6640625" customWidth="1"/>
    <col min="6" max="6" width="17.6640625" bestFit="1" customWidth="1"/>
    <col min="7" max="7" width="13.33203125" bestFit="1" customWidth="1"/>
    <col min="8" max="8" width="17.6640625" style="142" customWidth="1"/>
    <col min="9" max="12" width="13.33203125" style="142" customWidth="1"/>
  </cols>
  <sheetData>
    <row r="1" spans="1:14" ht="29" customHeight="1" x14ac:dyDescent="0.25">
      <c r="B1" s="39" t="s">
        <v>137</v>
      </c>
      <c r="C1" s="39"/>
      <c r="D1" s="40"/>
      <c r="E1" s="41"/>
      <c r="F1" s="3"/>
      <c r="G1" s="3"/>
      <c r="H1" s="3"/>
      <c r="I1" s="3"/>
      <c r="J1" s="3"/>
      <c r="K1" s="3"/>
      <c r="L1" s="3"/>
    </row>
    <row r="2" spans="1:14" ht="23" x14ac:dyDescent="0.25">
      <c r="B2" s="1"/>
      <c r="C2" s="1"/>
      <c r="D2" s="2"/>
      <c r="E2" s="3"/>
      <c r="F2" s="3"/>
      <c r="G2" s="3"/>
      <c r="H2" s="3"/>
      <c r="I2" s="3"/>
      <c r="J2" s="3"/>
      <c r="K2" s="3"/>
      <c r="L2" s="3"/>
    </row>
    <row r="3" spans="1:14" ht="25.25" customHeight="1" x14ac:dyDescent="0.2">
      <c r="A3" s="27" t="s">
        <v>0</v>
      </c>
      <c r="B3" s="26" t="s">
        <v>1</v>
      </c>
      <c r="C3" s="166" t="s">
        <v>75</v>
      </c>
      <c r="D3" s="27" t="s">
        <v>87</v>
      </c>
      <c r="E3" s="27" t="s">
        <v>109</v>
      </c>
      <c r="F3" s="27" t="s">
        <v>133</v>
      </c>
      <c r="G3" s="27" t="s">
        <v>106</v>
      </c>
      <c r="H3" s="27" t="s">
        <v>135</v>
      </c>
      <c r="I3" s="27" t="s">
        <v>125</v>
      </c>
      <c r="J3" s="27" t="s">
        <v>155</v>
      </c>
      <c r="K3" s="27" t="s">
        <v>163</v>
      </c>
      <c r="L3" s="27" t="s">
        <v>195</v>
      </c>
    </row>
    <row r="4" spans="1:14" x14ac:dyDescent="0.2">
      <c r="A4" s="13">
        <v>3110</v>
      </c>
      <c r="B4" s="13" t="s">
        <v>2</v>
      </c>
      <c r="C4" s="167"/>
      <c r="D4" s="136"/>
      <c r="E4" s="136"/>
      <c r="F4" s="136"/>
      <c r="G4" s="128"/>
      <c r="H4" s="136"/>
      <c r="I4" s="136"/>
      <c r="J4" s="136"/>
      <c r="K4" s="136"/>
      <c r="L4" s="136">
        <v>3000</v>
      </c>
    </row>
    <row r="5" spans="1:14" x14ac:dyDescent="0.2">
      <c r="A5" s="13">
        <v>3115</v>
      </c>
      <c r="B5" s="13" t="s">
        <v>3</v>
      </c>
      <c r="C5" s="167"/>
      <c r="D5" s="136"/>
      <c r="E5" s="136"/>
      <c r="F5" s="136"/>
      <c r="G5" s="128"/>
      <c r="H5" s="136"/>
      <c r="I5" s="136"/>
      <c r="J5" s="136"/>
      <c r="K5" s="136"/>
      <c r="L5" s="136"/>
    </row>
    <row r="6" spans="1:14" x14ac:dyDescent="0.2">
      <c r="A6" s="13">
        <v>3400</v>
      </c>
      <c r="B6" s="56" t="s">
        <v>4</v>
      </c>
      <c r="C6" s="168"/>
      <c r="D6" s="136">
        <v>37846</v>
      </c>
      <c r="E6" s="136">
        <v>36300</v>
      </c>
      <c r="F6" s="136">
        <v>41198</v>
      </c>
      <c r="G6" s="128">
        <v>35000</v>
      </c>
      <c r="H6" s="136">
        <f>11695+39292</f>
        <v>50987</v>
      </c>
      <c r="I6" s="136">
        <v>35000</v>
      </c>
      <c r="J6" s="136">
        <v>42000</v>
      </c>
      <c r="K6" s="142">
        <v>34930</v>
      </c>
      <c r="L6" s="136">
        <v>35000</v>
      </c>
      <c r="N6" t="s">
        <v>169</v>
      </c>
    </row>
    <row r="7" spans="1:14" x14ac:dyDescent="0.2">
      <c r="A7" s="13">
        <v>3440</v>
      </c>
      <c r="B7" s="13" t="s">
        <v>55</v>
      </c>
      <c r="C7" s="167"/>
      <c r="D7" s="136"/>
      <c r="E7" s="136"/>
      <c r="F7" s="136"/>
      <c r="G7" s="128"/>
      <c r="H7" s="136"/>
      <c r="I7" s="136"/>
      <c r="J7" s="136"/>
      <c r="K7" s="136"/>
      <c r="L7" s="136"/>
      <c r="N7" t="s">
        <v>170</v>
      </c>
    </row>
    <row r="8" spans="1:14" x14ac:dyDescent="0.2">
      <c r="A8" s="13">
        <v>3605</v>
      </c>
      <c r="B8" s="13" t="s">
        <v>5</v>
      </c>
      <c r="C8" s="167"/>
      <c r="D8" s="136"/>
      <c r="E8" s="136"/>
      <c r="F8" s="136"/>
      <c r="G8" s="128"/>
      <c r="H8" s="136"/>
      <c r="I8" s="136"/>
      <c r="J8" s="136"/>
      <c r="K8" s="136"/>
      <c r="L8" s="136"/>
      <c r="N8" t="s">
        <v>171</v>
      </c>
    </row>
    <row r="9" spans="1:14" x14ac:dyDescent="0.2">
      <c r="A9" s="13">
        <v>3620</v>
      </c>
      <c r="B9" s="23" t="s">
        <v>89</v>
      </c>
      <c r="C9" s="169"/>
      <c r="D9" s="136"/>
      <c r="E9" s="136"/>
      <c r="F9" s="136"/>
      <c r="G9" s="128"/>
      <c r="H9" s="136"/>
      <c r="I9" s="136"/>
      <c r="J9" s="136"/>
      <c r="K9" s="136"/>
      <c r="L9" s="136">
        <v>9000</v>
      </c>
      <c r="N9" t="s">
        <v>172</v>
      </c>
    </row>
    <row r="10" spans="1:14" x14ac:dyDescent="0.2">
      <c r="A10" s="13">
        <v>3920</v>
      </c>
      <c r="B10" s="13" t="s">
        <v>6</v>
      </c>
      <c r="C10" s="167"/>
      <c r="D10" s="136"/>
      <c r="E10" s="136"/>
      <c r="F10" s="136"/>
      <c r="G10" s="128"/>
      <c r="H10" s="136"/>
      <c r="I10" s="136"/>
      <c r="J10" s="136"/>
      <c r="K10" s="136"/>
      <c r="L10" s="136"/>
      <c r="N10" t="s">
        <v>173</v>
      </c>
    </row>
    <row r="11" spans="1:14" x14ac:dyDescent="0.2">
      <c r="A11" s="13">
        <v>3925</v>
      </c>
      <c r="B11" s="13" t="s">
        <v>7</v>
      </c>
      <c r="C11" s="167"/>
      <c r="D11" s="136">
        <v>30200</v>
      </c>
      <c r="E11" s="136">
        <v>27200</v>
      </c>
      <c r="F11" s="136">
        <v>28850</v>
      </c>
      <c r="G11" s="128">
        <v>27000</v>
      </c>
      <c r="H11" s="136">
        <v>27500</v>
      </c>
      <c r="I11" s="136">
        <v>30000</v>
      </c>
      <c r="J11" s="136">
        <v>30000</v>
      </c>
      <c r="K11" s="136">
        <v>40000</v>
      </c>
      <c r="L11" s="136">
        <v>37500</v>
      </c>
      <c r="N11" t="s">
        <v>174</v>
      </c>
    </row>
    <row r="12" spans="1:14" x14ac:dyDescent="0.2">
      <c r="A12" s="13">
        <v>3926</v>
      </c>
      <c r="B12" s="23" t="s">
        <v>13</v>
      </c>
      <c r="C12" s="169"/>
      <c r="D12" s="136"/>
      <c r="E12" s="136"/>
      <c r="F12" s="136"/>
      <c r="G12" s="128"/>
      <c r="H12" s="136"/>
      <c r="I12" s="136"/>
      <c r="J12" s="136"/>
      <c r="K12" s="136"/>
      <c r="L12" s="136"/>
      <c r="N12" t="s">
        <v>175</v>
      </c>
    </row>
    <row r="13" spans="1:14" x14ac:dyDescent="0.2">
      <c r="A13" s="13">
        <v>3950</v>
      </c>
      <c r="B13" s="13" t="s">
        <v>9</v>
      </c>
      <c r="C13" s="167"/>
      <c r="D13" s="136">
        <v>30920</v>
      </c>
      <c r="E13" s="136">
        <v>26095</v>
      </c>
      <c r="F13" s="136">
        <v>4200</v>
      </c>
      <c r="G13" s="128">
        <v>25000</v>
      </c>
      <c r="H13" s="212">
        <v>51181</v>
      </c>
      <c r="I13" s="136">
        <v>20000</v>
      </c>
      <c r="J13" s="136">
        <f>7000+1200+28200</f>
        <v>36400</v>
      </c>
      <c r="K13" s="226">
        <v>61970</v>
      </c>
      <c r="L13" s="136">
        <v>55000</v>
      </c>
      <c r="M13" t="s">
        <v>127</v>
      </c>
      <c r="N13" t="s">
        <v>176</v>
      </c>
    </row>
    <row r="14" spans="1:14" x14ac:dyDescent="0.2">
      <c r="A14" s="13">
        <v>3970</v>
      </c>
      <c r="B14" s="13" t="s">
        <v>10</v>
      </c>
      <c r="C14" s="167"/>
      <c r="D14" s="136"/>
      <c r="E14" s="136"/>
      <c r="F14" s="136"/>
      <c r="G14" s="128"/>
      <c r="H14" s="136"/>
      <c r="I14" s="136"/>
      <c r="J14" s="136"/>
      <c r="K14" s="136">
        <v>11685</v>
      </c>
      <c r="L14" s="136">
        <v>12000</v>
      </c>
      <c r="N14" t="s">
        <v>177</v>
      </c>
    </row>
    <row r="15" spans="1:14" x14ac:dyDescent="0.2">
      <c r="A15" s="13">
        <v>3975</v>
      </c>
      <c r="B15" s="13" t="s">
        <v>11</v>
      </c>
      <c r="C15" s="167"/>
      <c r="D15" s="136"/>
      <c r="E15" s="136">
        <f>7896+4810</f>
        <v>12706</v>
      </c>
      <c r="F15" s="136">
        <v>35776</v>
      </c>
      <c r="G15" s="128">
        <v>12000</v>
      </c>
      <c r="H15" s="136">
        <v>-36954</v>
      </c>
      <c r="I15" s="136">
        <v>7500</v>
      </c>
      <c r="J15" s="136">
        <f>10000+10100+10000+2000+4000</f>
        <v>36100</v>
      </c>
      <c r="K15" s="226">
        <v>34324</v>
      </c>
      <c r="L15" s="136">
        <v>15000</v>
      </c>
      <c r="N15" t="s">
        <v>178</v>
      </c>
    </row>
    <row r="16" spans="1:14" x14ac:dyDescent="0.2">
      <c r="A16" s="13">
        <v>3980</v>
      </c>
      <c r="B16" s="13" t="s">
        <v>12</v>
      </c>
      <c r="C16" s="167"/>
      <c r="D16" s="136"/>
      <c r="E16" s="136"/>
      <c r="F16" s="136"/>
      <c r="G16" s="128"/>
      <c r="H16" s="136">
        <v>14355</v>
      </c>
      <c r="I16" s="136"/>
      <c r="J16" s="136">
        <v>0</v>
      </c>
      <c r="K16" s="226">
        <v>17820</v>
      </c>
      <c r="L16" s="119"/>
      <c r="M16" t="s">
        <v>127</v>
      </c>
      <c r="N16" t="s">
        <v>179</v>
      </c>
    </row>
    <row r="17" spans="1:14" x14ac:dyDescent="0.2">
      <c r="A17" s="13">
        <v>3990</v>
      </c>
      <c r="B17" s="23" t="s">
        <v>8</v>
      </c>
      <c r="C17" s="169"/>
      <c r="D17" s="136"/>
      <c r="E17" s="136"/>
      <c r="F17" s="136"/>
      <c r="G17" s="128"/>
      <c r="H17" s="136"/>
      <c r="I17" s="136"/>
      <c r="J17" s="136"/>
      <c r="K17" s="136">
        <v>30616</v>
      </c>
      <c r="L17" s="119"/>
    </row>
    <row r="18" spans="1:14" ht="19.25" customHeight="1" x14ac:dyDescent="0.2">
      <c r="A18" s="13"/>
      <c r="B18" s="30" t="s">
        <v>14</v>
      </c>
      <c r="C18" s="170"/>
      <c r="D18" s="31">
        <f t="shared" ref="D18:L18" si="0">SUM(D4:D17)</f>
        <v>98966</v>
      </c>
      <c r="E18" s="138">
        <f t="shared" si="0"/>
        <v>102301</v>
      </c>
      <c r="F18" s="31">
        <f t="shared" si="0"/>
        <v>110024</v>
      </c>
      <c r="G18" s="138">
        <f>SUM(G4:G17)</f>
        <v>99000</v>
      </c>
      <c r="H18" s="138">
        <f>SUM(H4:H17)</f>
        <v>107069</v>
      </c>
      <c r="I18" s="138">
        <f t="shared" si="0"/>
        <v>92500</v>
      </c>
      <c r="J18" s="138">
        <f t="shared" si="0"/>
        <v>144500</v>
      </c>
      <c r="K18" s="138">
        <f t="shared" si="0"/>
        <v>231345</v>
      </c>
      <c r="L18" s="138">
        <f t="shared" si="0"/>
        <v>166500</v>
      </c>
      <c r="N18" t="s">
        <v>180</v>
      </c>
    </row>
    <row r="19" spans="1:14" x14ac:dyDescent="0.2">
      <c r="A19" s="13"/>
      <c r="B19" s="12" t="s">
        <v>15</v>
      </c>
      <c r="C19" s="171"/>
      <c r="D19" s="22"/>
      <c r="E19" s="133"/>
      <c r="F19" s="22"/>
      <c r="G19" s="125"/>
      <c r="H19" s="133"/>
      <c r="I19" s="133"/>
      <c r="J19" s="133"/>
      <c r="K19" s="133"/>
      <c r="L19" s="121"/>
    </row>
    <row r="20" spans="1:14" x14ac:dyDescent="0.2">
      <c r="A20" s="13">
        <v>4210</v>
      </c>
      <c r="B20" s="13" t="s">
        <v>16</v>
      </c>
      <c r="C20" s="167"/>
      <c r="D20" s="133">
        <v>710</v>
      </c>
      <c r="E20" s="133">
        <v>665</v>
      </c>
      <c r="F20" s="133"/>
      <c r="G20" s="125">
        <v>1000</v>
      </c>
      <c r="H20" s="133"/>
      <c r="I20" s="133">
        <v>1000</v>
      </c>
      <c r="J20" s="133">
        <v>600</v>
      </c>
      <c r="K20" s="133"/>
      <c r="L20" s="121"/>
      <c r="N20" t="s">
        <v>181</v>
      </c>
    </row>
    <row r="21" spans="1:14" x14ac:dyDescent="0.2">
      <c r="A21" s="13">
        <v>4220</v>
      </c>
      <c r="B21" s="13" t="s">
        <v>17</v>
      </c>
      <c r="C21" s="167"/>
      <c r="D21" s="133"/>
      <c r="E21" s="133"/>
      <c r="F21" s="133"/>
      <c r="G21" s="125"/>
      <c r="H21" s="133"/>
      <c r="I21" s="133"/>
      <c r="J21" s="133"/>
      <c r="K21" s="133"/>
      <c r="L21" s="121"/>
      <c r="N21" t="s">
        <v>182</v>
      </c>
    </row>
    <row r="22" spans="1:14" x14ac:dyDescent="0.2">
      <c r="A22" s="13">
        <v>4225</v>
      </c>
      <c r="B22" s="13" t="s">
        <v>19</v>
      </c>
      <c r="C22" s="167"/>
      <c r="D22" s="133"/>
      <c r="E22" s="133"/>
      <c r="F22" s="133"/>
      <c r="G22" s="125"/>
      <c r="H22" s="133"/>
      <c r="I22" s="133"/>
      <c r="J22" s="133"/>
      <c r="K22" s="133">
        <v>20299</v>
      </c>
      <c r="L22" s="121"/>
      <c r="N22" t="s">
        <v>183</v>
      </c>
    </row>
    <row r="23" spans="1:14" x14ac:dyDescent="0.2">
      <c r="A23" s="13">
        <v>4300</v>
      </c>
      <c r="B23" s="13" t="s">
        <v>18</v>
      </c>
      <c r="C23" s="167"/>
      <c r="D23" s="133"/>
      <c r="E23" s="133"/>
      <c r="F23" s="133"/>
      <c r="G23" s="125"/>
      <c r="H23" s="133"/>
      <c r="I23" s="133"/>
      <c r="J23" s="133"/>
      <c r="K23" s="133"/>
      <c r="L23" s="121">
        <v>500</v>
      </c>
      <c r="N23" t="s">
        <v>184</v>
      </c>
    </row>
    <row r="24" spans="1:14" x14ac:dyDescent="0.2">
      <c r="A24" s="13">
        <v>5000</v>
      </c>
      <c r="B24" s="13" t="s">
        <v>20</v>
      </c>
      <c r="C24" s="167"/>
      <c r="D24" s="133">
        <v>13548</v>
      </c>
      <c r="E24" s="133">
        <v>8740</v>
      </c>
      <c r="F24" s="133">
        <v>9460</v>
      </c>
      <c r="G24" s="125">
        <v>12000</v>
      </c>
      <c r="H24" s="133">
        <v>40295</v>
      </c>
      <c r="I24" s="133">
        <v>12000</v>
      </c>
      <c r="J24" s="133">
        <v>25000</v>
      </c>
      <c r="K24" s="226">
        <v>38178</v>
      </c>
      <c r="L24" s="121">
        <v>25000</v>
      </c>
      <c r="N24" t="s">
        <v>185</v>
      </c>
    </row>
    <row r="25" spans="1:14" x14ac:dyDescent="0.2">
      <c r="A25" s="13">
        <v>6315</v>
      </c>
      <c r="B25" s="13" t="s">
        <v>22</v>
      </c>
      <c r="C25" s="167"/>
      <c r="D25" s="133"/>
      <c r="E25" s="133"/>
      <c r="F25" s="133"/>
      <c r="G25" s="125"/>
      <c r="H25" s="133"/>
      <c r="I25" s="133"/>
      <c r="J25" s="133"/>
      <c r="K25" s="133"/>
      <c r="L25" s="121"/>
      <c r="N25" t="s">
        <v>186</v>
      </c>
    </row>
    <row r="26" spans="1:14" x14ac:dyDescent="0.2">
      <c r="A26" s="13">
        <v>6316</v>
      </c>
      <c r="B26" s="13" t="s">
        <v>39</v>
      </c>
      <c r="C26" s="167"/>
      <c r="D26" s="133"/>
      <c r="E26" s="133"/>
      <c r="F26" s="133"/>
      <c r="G26" s="125"/>
      <c r="H26" s="133"/>
      <c r="I26" s="133"/>
      <c r="J26" s="133"/>
      <c r="K26" s="133"/>
      <c r="L26" s="121"/>
      <c r="N26" t="s">
        <v>187</v>
      </c>
    </row>
    <row r="27" spans="1:14" x14ac:dyDescent="0.2">
      <c r="A27" s="13">
        <v>6320</v>
      </c>
      <c r="B27" s="13" t="s">
        <v>23</v>
      </c>
      <c r="C27" s="167"/>
      <c r="D27" s="133"/>
      <c r="E27" s="133"/>
      <c r="F27" s="133"/>
      <c r="G27" s="125"/>
      <c r="H27" s="133"/>
      <c r="I27" s="133"/>
      <c r="J27" s="133"/>
      <c r="K27" s="133"/>
      <c r="L27" s="121"/>
      <c r="N27" t="s">
        <v>188</v>
      </c>
    </row>
    <row r="28" spans="1:14" x14ac:dyDescent="0.2">
      <c r="A28" s="13">
        <v>6340</v>
      </c>
      <c r="B28" s="13" t="s">
        <v>41</v>
      </c>
      <c r="C28" s="167"/>
      <c r="D28" s="133"/>
      <c r="E28" s="133"/>
      <c r="F28" s="133"/>
      <c r="G28" s="125"/>
      <c r="H28" s="133"/>
      <c r="I28" s="133"/>
      <c r="J28" s="133"/>
      <c r="K28" s="133"/>
      <c r="L28" s="121"/>
    </row>
    <row r="29" spans="1:14" x14ac:dyDescent="0.2">
      <c r="A29" s="13">
        <v>6340</v>
      </c>
      <c r="B29" s="13" t="s">
        <v>42</v>
      </c>
      <c r="C29" s="167"/>
      <c r="D29" s="133"/>
      <c r="E29" s="133"/>
      <c r="F29" s="133"/>
      <c r="G29" s="125"/>
      <c r="H29" s="133"/>
      <c r="I29" s="133"/>
      <c r="J29" s="133"/>
      <c r="K29" s="133"/>
      <c r="L29" s="121"/>
      <c r="N29" t="s">
        <v>189</v>
      </c>
    </row>
    <row r="30" spans="1:14" x14ac:dyDescent="0.2">
      <c r="A30" s="13">
        <v>6550</v>
      </c>
      <c r="B30" s="13" t="s">
        <v>40</v>
      </c>
      <c r="C30" s="167"/>
      <c r="D30" s="133"/>
      <c r="E30" s="133">
        <v>8924</v>
      </c>
      <c r="F30" s="133">
        <v>38628</v>
      </c>
      <c r="G30" s="125">
        <v>30000</v>
      </c>
      <c r="H30" s="133">
        <v>4226.8</v>
      </c>
      <c r="I30" s="133"/>
      <c r="J30" s="133">
        <v>65000</v>
      </c>
      <c r="K30" s="226">
        <v>89319.8</v>
      </c>
      <c r="L30" s="121">
        <v>15000</v>
      </c>
    </row>
    <row r="31" spans="1:14" x14ac:dyDescent="0.2">
      <c r="A31" s="13">
        <v>6600</v>
      </c>
      <c r="B31" s="13" t="s">
        <v>24</v>
      </c>
      <c r="C31" s="167"/>
      <c r="D31" s="133"/>
      <c r="E31" s="133"/>
      <c r="F31" s="133"/>
      <c r="G31" s="125"/>
      <c r="H31" s="133"/>
      <c r="I31" s="133"/>
      <c r="J31" s="133"/>
      <c r="K31" s="133"/>
      <c r="L31" s="121"/>
      <c r="N31" t="s">
        <v>190</v>
      </c>
    </row>
    <row r="32" spans="1:14" x14ac:dyDescent="0.2">
      <c r="A32" s="13">
        <v>6620</v>
      </c>
      <c r="B32" s="13" t="s">
        <v>25</v>
      </c>
      <c r="C32" s="167"/>
      <c r="D32" s="133"/>
      <c r="E32" s="133"/>
      <c r="F32" s="133"/>
      <c r="G32" s="125"/>
      <c r="H32" s="133"/>
      <c r="I32" s="133"/>
      <c r="J32" s="133"/>
      <c r="K32" s="133"/>
      <c r="L32" s="121"/>
    </row>
    <row r="33" spans="1:14" x14ac:dyDescent="0.2">
      <c r="A33" s="13">
        <v>6630</v>
      </c>
      <c r="B33" s="13" t="s">
        <v>47</v>
      </c>
      <c r="C33" s="167"/>
      <c r="D33" s="133"/>
      <c r="E33" s="133"/>
      <c r="F33" s="133"/>
      <c r="G33" s="125"/>
      <c r="H33" s="133"/>
      <c r="I33" s="133">
        <v>20000</v>
      </c>
      <c r="J33" s="133"/>
      <c r="K33" s="133"/>
      <c r="L33" s="121"/>
    </row>
    <row r="34" spans="1:14" x14ac:dyDescent="0.2">
      <c r="A34" s="13">
        <v>6705</v>
      </c>
      <c r="B34" s="23" t="s">
        <v>28</v>
      </c>
      <c r="C34" s="169"/>
      <c r="D34" s="133"/>
      <c r="E34" s="133"/>
      <c r="F34" s="133"/>
      <c r="G34" s="125"/>
      <c r="H34" s="133"/>
      <c r="I34" s="133"/>
      <c r="J34" s="133"/>
      <c r="K34" s="133"/>
      <c r="L34" s="121"/>
    </row>
    <row r="35" spans="1:14" x14ac:dyDescent="0.2">
      <c r="A35" s="13">
        <v>6800</v>
      </c>
      <c r="B35" s="13" t="s">
        <v>43</v>
      </c>
      <c r="C35" s="167"/>
      <c r="D35" s="133"/>
      <c r="E35" s="133"/>
      <c r="F35" s="133"/>
      <c r="G35" s="125"/>
      <c r="H35" s="133"/>
      <c r="I35" s="133"/>
      <c r="J35" s="133"/>
      <c r="K35" s="133"/>
      <c r="L35" s="121"/>
    </row>
    <row r="36" spans="1:14" x14ac:dyDescent="0.2">
      <c r="A36" s="13">
        <v>6840</v>
      </c>
      <c r="B36" s="13" t="s">
        <v>26</v>
      </c>
      <c r="C36" s="167"/>
      <c r="D36" s="133"/>
      <c r="E36" s="133"/>
      <c r="F36" s="133"/>
      <c r="G36" s="125"/>
      <c r="H36" s="133"/>
      <c r="I36" s="133"/>
      <c r="J36" s="133"/>
      <c r="K36" s="133"/>
      <c r="L36" s="121">
        <v>1000</v>
      </c>
    </row>
    <row r="37" spans="1:14" x14ac:dyDescent="0.2">
      <c r="A37" s="13">
        <v>6860</v>
      </c>
      <c r="B37" s="13" t="s">
        <v>27</v>
      </c>
      <c r="C37" s="167"/>
      <c r="D37" s="133">
        <v>2705.7</v>
      </c>
      <c r="E37" s="133"/>
      <c r="F37" s="133"/>
      <c r="G37" s="125"/>
      <c r="H37" s="133">
        <v>2585.39</v>
      </c>
      <c r="I37" s="133"/>
      <c r="J37" s="133"/>
      <c r="K37" s="133"/>
      <c r="L37" s="121">
        <v>2500</v>
      </c>
    </row>
    <row r="38" spans="1:14" x14ac:dyDescent="0.2">
      <c r="A38" s="13">
        <v>6900</v>
      </c>
      <c r="B38" s="23" t="s">
        <v>44</v>
      </c>
      <c r="C38" s="169"/>
      <c r="D38" s="133"/>
      <c r="E38" s="133"/>
      <c r="F38" s="133"/>
      <c r="G38" s="125"/>
      <c r="H38" s="133"/>
      <c r="I38" s="133"/>
      <c r="J38" s="133"/>
      <c r="K38" s="133"/>
      <c r="L38" s="121"/>
    </row>
    <row r="39" spans="1:14" x14ac:dyDescent="0.2">
      <c r="A39" s="13">
        <v>6940</v>
      </c>
      <c r="B39" s="13" t="s">
        <v>29</v>
      </c>
      <c r="C39" s="167"/>
      <c r="D39" s="133"/>
      <c r="E39" s="133"/>
      <c r="F39" s="133"/>
      <c r="G39" s="125"/>
      <c r="H39" s="133"/>
      <c r="I39" s="133"/>
      <c r="J39" s="133"/>
      <c r="K39" s="133"/>
      <c r="L39" s="121"/>
    </row>
    <row r="40" spans="1:14" x14ac:dyDescent="0.2">
      <c r="A40" s="13">
        <v>7000</v>
      </c>
      <c r="B40" s="13" t="s">
        <v>48</v>
      </c>
      <c r="C40" s="167"/>
      <c r="D40" s="133"/>
      <c r="E40" s="133"/>
      <c r="F40" s="133"/>
      <c r="G40" s="125"/>
      <c r="H40" s="133"/>
      <c r="I40" s="133"/>
      <c r="J40" s="133"/>
      <c r="K40" s="133"/>
      <c r="L40" s="121"/>
    </row>
    <row r="41" spans="1:14" x14ac:dyDescent="0.2">
      <c r="A41" s="13">
        <v>7140</v>
      </c>
      <c r="B41" s="13" t="s">
        <v>45</v>
      </c>
      <c r="C41" s="167"/>
      <c r="D41" s="133"/>
      <c r="E41" s="133"/>
      <c r="F41" s="133"/>
      <c r="G41" s="125"/>
      <c r="H41" s="133">
        <v>1141.3</v>
      </c>
      <c r="I41" s="133"/>
      <c r="J41" s="133"/>
      <c r="K41" s="133">
        <v>996</v>
      </c>
      <c r="L41" s="121"/>
    </row>
    <row r="42" spans="1:14" x14ac:dyDescent="0.2">
      <c r="A42" s="13">
        <v>7320</v>
      </c>
      <c r="B42" s="23" t="s">
        <v>30</v>
      </c>
      <c r="C42" s="169"/>
      <c r="D42" s="133"/>
      <c r="E42" s="133"/>
      <c r="F42" s="133"/>
      <c r="G42" s="125"/>
      <c r="H42" s="133"/>
      <c r="I42" s="133"/>
      <c r="J42" s="133"/>
      <c r="K42" s="133"/>
      <c r="L42" s="121"/>
    </row>
    <row r="43" spans="1:14" x14ac:dyDescent="0.2">
      <c r="A43" s="13">
        <v>7400</v>
      </c>
      <c r="B43" s="13" t="s">
        <v>31</v>
      </c>
      <c r="C43" s="167"/>
      <c r="D43" s="133">
        <v>16550</v>
      </c>
      <c r="E43" s="133">
        <v>16800</v>
      </c>
      <c r="F43" s="133">
        <v>16200</v>
      </c>
      <c r="G43" s="125">
        <v>16000</v>
      </c>
      <c r="H43" s="133">
        <v>11970</v>
      </c>
      <c r="I43" s="133">
        <v>16000</v>
      </c>
      <c r="J43" s="133">
        <v>16000</v>
      </c>
      <c r="K43" s="133">
        <v>4040</v>
      </c>
      <c r="L43" s="121">
        <v>16000</v>
      </c>
    </row>
    <row r="44" spans="1:14" x14ac:dyDescent="0.2">
      <c r="A44" s="13">
        <v>7420</v>
      </c>
      <c r="B44" s="13" t="s">
        <v>12</v>
      </c>
      <c r="C44" s="167"/>
      <c r="D44" s="133">
        <v>1832</v>
      </c>
      <c r="E44" s="133">
        <v>1120</v>
      </c>
      <c r="F44" s="133">
        <v>2315</v>
      </c>
      <c r="G44" s="125">
        <v>1000</v>
      </c>
      <c r="H44" s="133">
        <v>2490</v>
      </c>
      <c r="I44" s="133">
        <v>1000</v>
      </c>
      <c r="J44" s="133">
        <v>1800</v>
      </c>
      <c r="K44" s="133">
        <v>2906</v>
      </c>
      <c r="L44" s="121">
        <v>1200</v>
      </c>
    </row>
    <row r="45" spans="1:14" x14ac:dyDescent="0.2">
      <c r="A45" s="13">
        <v>7500</v>
      </c>
      <c r="B45" s="13" t="s">
        <v>21</v>
      </c>
      <c r="C45" s="167"/>
      <c r="D45" s="133"/>
      <c r="E45" s="133"/>
      <c r="F45" s="133"/>
      <c r="G45" s="125"/>
      <c r="H45" s="133"/>
      <c r="I45" s="133"/>
      <c r="J45" s="133"/>
      <c r="K45" s="133">
        <v>8400</v>
      </c>
      <c r="L45" s="121">
        <v>8500</v>
      </c>
    </row>
    <row r="46" spans="1:14" s="142" customFormat="1" x14ac:dyDescent="0.2">
      <c r="A46" s="13">
        <v>7745</v>
      </c>
      <c r="B46" s="13" t="s">
        <v>90</v>
      </c>
      <c r="C46" s="167"/>
      <c r="D46" s="133"/>
      <c r="E46" s="133"/>
      <c r="F46" s="133">
        <v>400</v>
      </c>
      <c r="G46" s="133">
        <v>3000</v>
      </c>
      <c r="H46" s="133">
        <v>2422</v>
      </c>
      <c r="I46" s="133">
        <v>3000</v>
      </c>
      <c r="J46" s="133">
        <v>4000</v>
      </c>
      <c r="K46" s="133">
        <v>9080</v>
      </c>
      <c r="L46" s="121">
        <v>5000</v>
      </c>
      <c r="N46" s="142">
        <f>55826.09</f>
        <v>55826.09</v>
      </c>
    </row>
    <row r="47" spans="1:14" x14ac:dyDescent="0.2">
      <c r="A47" s="13">
        <v>7750</v>
      </c>
      <c r="B47" s="13" t="s">
        <v>32</v>
      </c>
      <c r="C47" s="167"/>
      <c r="D47" s="133">
        <v>35050</v>
      </c>
      <c r="E47" s="133">
        <v>27929</v>
      </c>
      <c r="F47" s="133">
        <v>24395</v>
      </c>
      <c r="G47" s="125">
        <v>30000</v>
      </c>
      <c r="H47" s="133">
        <v>42587.8</v>
      </c>
      <c r="I47" s="133">
        <v>30000</v>
      </c>
      <c r="J47" s="133">
        <v>31000</v>
      </c>
      <c r="K47" s="226">
        <v>54704.84</v>
      </c>
      <c r="L47" s="121">
        <v>76000</v>
      </c>
      <c r="N47">
        <f>16439-55826.09</f>
        <v>-39387.089999999997</v>
      </c>
    </row>
    <row r="48" spans="1:14" x14ac:dyDescent="0.2">
      <c r="A48" s="13">
        <v>7755</v>
      </c>
      <c r="B48" s="13" t="s">
        <v>33</v>
      </c>
      <c r="C48" s="167"/>
      <c r="D48" s="133">
        <v>950</v>
      </c>
      <c r="E48" s="133"/>
      <c r="F48" s="133"/>
      <c r="G48" s="125">
        <v>2000</v>
      </c>
      <c r="H48" s="133">
        <v>1800</v>
      </c>
      <c r="I48" s="133">
        <v>5000</v>
      </c>
      <c r="J48" s="133"/>
      <c r="K48" s="133"/>
      <c r="L48" s="121">
        <v>6000</v>
      </c>
      <c r="N48">
        <f>55826.09+31221-47660</f>
        <v>39387.089999999997</v>
      </c>
    </row>
    <row r="49" spans="1:12" x14ac:dyDescent="0.2">
      <c r="A49" s="13">
        <v>7770</v>
      </c>
      <c r="B49" s="13" t="s">
        <v>46</v>
      </c>
      <c r="C49" s="167"/>
      <c r="D49" s="133"/>
      <c r="E49" s="133"/>
      <c r="F49" s="133">
        <v>60</v>
      </c>
      <c r="G49" s="125"/>
      <c r="H49" s="133"/>
      <c r="I49" s="133"/>
      <c r="J49" s="133"/>
      <c r="K49" s="133"/>
      <c r="L49" s="121">
        <v>500</v>
      </c>
    </row>
    <row r="50" spans="1:12" x14ac:dyDescent="0.2">
      <c r="A50" s="13">
        <v>7790</v>
      </c>
      <c r="B50" s="13" t="s">
        <v>34</v>
      </c>
      <c r="C50" s="167"/>
      <c r="D50" s="133"/>
      <c r="E50" s="133">
        <v>800</v>
      </c>
      <c r="F50" s="133">
        <v>500</v>
      </c>
      <c r="G50" s="125">
        <v>4000</v>
      </c>
      <c r="H50" s="133">
        <v>205</v>
      </c>
      <c r="I50" s="133">
        <v>4000</v>
      </c>
      <c r="J50" s="133">
        <v>1000</v>
      </c>
      <c r="K50" s="133">
        <v>203</v>
      </c>
      <c r="L50" s="121">
        <v>8000</v>
      </c>
    </row>
    <row r="51" spans="1:12" x14ac:dyDescent="0.2">
      <c r="A51" s="13">
        <v>6010</v>
      </c>
      <c r="B51" s="23" t="s">
        <v>35</v>
      </c>
      <c r="C51" s="169"/>
      <c r="D51" s="133"/>
      <c r="E51" s="133"/>
      <c r="F51" s="133"/>
      <c r="G51" s="125"/>
      <c r="H51" s="133"/>
      <c r="I51" s="133"/>
      <c r="J51" s="133"/>
      <c r="K51" s="133"/>
      <c r="L51" s="121"/>
    </row>
    <row r="52" spans="1:12" x14ac:dyDescent="0.2">
      <c r="A52" s="13"/>
      <c r="B52" s="26" t="s">
        <v>36</v>
      </c>
      <c r="C52" s="166"/>
      <c r="D52" s="32">
        <f t="shared" ref="D52:L52" si="1">SUM(D20:D51)</f>
        <v>71345.7</v>
      </c>
      <c r="E52" s="139">
        <f t="shared" si="1"/>
        <v>64978</v>
      </c>
      <c r="F52" s="32">
        <f t="shared" si="1"/>
        <v>91958</v>
      </c>
      <c r="G52" s="139">
        <f>SUM(G20:G51)</f>
        <v>99000</v>
      </c>
      <c r="H52" s="139">
        <f>SUM(H20:H51)</f>
        <v>109723.29000000001</v>
      </c>
      <c r="I52" s="139">
        <f t="shared" si="1"/>
        <v>92000</v>
      </c>
      <c r="J52" s="139">
        <f t="shared" si="1"/>
        <v>144400</v>
      </c>
      <c r="K52" s="139">
        <f t="shared" si="1"/>
        <v>228126.63999999998</v>
      </c>
      <c r="L52" s="139">
        <f t="shared" si="1"/>
        <v>165200</v>
      </c>
    </row>
    <row r="53" spans="1:12" x14ac:dyDescent="0.2">
      <c r="A53" s="13"/>
      <c r="B53" s="33"/>
      <c r="C53" s="172"/>
      <c r="D53" s="29"/>
      <c r="E53" s="137"/>
      <c r="F53" s="29"/>
      <c r="G53" s="129"/>
      <c r="H53" s="137"/>
      <c r="I53" s="137"/>
      <c r="J53" s="137"/>
      <c r="K53" s="137"/>
      <c r="L53" s="137"/>
    </row>
    <row r="54" spans="1:12" x14ac:dyDescent="0.2">
      <c r="A54" s="13"/>
      <c r="B54" s="26" t="s">
        <v>38</v>
      </c>
      <c r="C54" s="166"/>
      <c r="D54" s="32">
        <f t="shared" ref="D54:L54" si="2">(D18-D52)</f>
        <v>27620.300000000003</v>
      </c>
      <c r="E54" s="139">
        <f t="shared" si="2"/>
        <v>37323</v>
      </c>
      <c r="F54" s="32">
        <f t="shared" si="2"/>
        <v>18066</v>
      </c>
      <c r="G54" s="139">
        <f>(G18-G52)</f>
        <v>0</v>
      </c>
      <c r="H54" s="139">
        <f>(H18-H52)</f>
        <v>-2654.2900000000081</v>
      </c>
      <c r="I54" s="139">
        <f t="shared" si="2"/>
        <v>500</v>
      </c>
      <c r="J54" s="139">
        <f t="shared" si="2"/>
        <v>100</v>
      </c>
      <c r="K54" s="139">
        <f t="shared" si="2"/>
        <v>3218.3600000000151</v>
      </c>
      <c r="L54" s="139">
        <f t="shared" si="2"/>
        <v>1300</v>
      </c>
    </row>
    <row r="55" spans="1:12" x14ac:dyDescent="0.2">
      <c r="A55" s="23"/>
      <c r="B55" s="23"/>
      <c r="C55" s="169"/>
      <c r="D55" s="23"/>
      <c r="E55" s="134"/>
      <c r="F55" s="23"/>
      <c r="G55" s="126"/>
      <c r="H55" s="134"/>
      <c r="I55" s="134"/>
      <c r="J55" s="134"/>
      <c r="K55" s="134"/>
      <c r="L55" s="134"/>
    </row>
    <row r="56" spans="1:12" x14ac:dyDescent="0.2">
      <c r="A56" s="23"/>
      <c r="B56" s="24" t="s">
        <v>49</v>
      </c>
      <c r="C56" s="173"/>
      <c r="D56" s="25"/>
      <c r="E56" s="135"/>
      <c r="F56" s="25"/>
      <c r="G56" s="127"/>
      <c r="H56" s="135"/>
      <c r="I56" s="135"/>
      <c r="J56" s="135"/>
      <c r="K56" s="135"/>
      <c r="L56" s="135"/>
    </row>
    <row r="57" spans="1:12" x14ac:dyDescent="0.2">
      <c r="A57" s="23"/>
      <c r="B57" s="23" t="s">
        <v>50</v>
      </c>
      <c r="C57" s="169"/>
      <c r="D57" s="135">
        <v>6.56</v>
      </c>
      <c r="E57" s="135">
        <v>30.4</v>
      </c>
      <c r="F57" s="25">
        <v>54</v>
      </c>
      <c r="G57" s="127"/>
      <c r="H57" s="135"/>
      <c r="I57" s="135"/>
      <c r="J57" s="135"/>
      <c r="K57" s="135"/>
      <c r="L57" s="135"/>
    </row>
    <row r="58" spans="1:12" x14ac:dyDescent="0.2">
      <c r="A58" s="23"/>
      <c r="B58" s="23" t="s">
        <v>52</v>
      </c>
      <c r="C58" s="169"/>
      <c r="D58" s="135"/>
      <c r="E58" s="135"/>
      <c r="F58" s="25"/>
      <c r="G58" s="127"/>
      <c r="H58" s="135"/>
      <c r="I58" s="135"/>
      <c r="J58" s="135"/>
      <c r="K58" s="135"/>
      <c r="L58" s="135"/>
    </row>
    <row r="59" spans="1:12" x14ac:dyDescent="0.2">
      <c r="A59" s="23"/>
      <c r="B59" s="34" t="s">
        <v>53</v>
      </c>
      <c r="C59" s="174"/>
      <c r="D59" s="35">
        <f>D57-D58</f>
        <v>6.56</v>
      </c>
      <c r="E59" s="140">
        <f>E57-E58</f>
        <v>30.4</v>
      </c>
      <c r="F59" s="35">
        <f>F57-F58</f>
        <v>54</v>
      </c>
      <c r="G59" s="140">
        <f>G57-G58</f>
        <v>0</v>
      </c>
      <c r="H59" s="140"/>
      <c r="I59" s="140"/>
      <c r="J59" s="140"/>
      <c r="K59" s="140"/>
      <c r="L59" s="140"/>
    </row>
    <row r="60" spans="1:12" x14ac:dyDescent="0.2">
      <c r="A60" s="23"/>
      <c r="B60" s="23"/>
      <c r="C60" s="169"/>
      <c r="D60" s="25"/>
      <c r="E60" s="135"/>
      <c r="F60" s="25"/>
      <c r="G60" s="127"/>
      <c r="H60" s="135"/>
      <c r="I60" s="135"/>
      <c r="J60" s="135"/>
      <c r="K60" s="135"/>
      <c r="L60" s="135"/>
    </row>
    <row r="61" spans="1:12" x14ac:dyDescent="0.2">
      <c r="A61" s="23"/>
      <c r="B61" s="36" t="s">
        <v>37</v>
      </c>
      <c r="C61" s="175"/>
      <c r="D61" s="37">
        <f t="shared" ref="D61:J61" si="3">D54+D59</f>
        <v>27626.860000000004</v>
      </c>
      <c r="E61" s="141">
        <f t="shared" si="3"/>
        <v>37353.4</v>
      </c>
      <c r="F61" s="37">
        <f t="shared" si="3"/>
        <v>18120</v>
      </c>
      <c r="G61" s="141">
        <f t="shared" si="3"/>
        <v>0</v>
      </c>
      <c r="H61" s="141">
        <f>H54+H59</f>
        <v>-2654.2900000000081</v>
      </c>
      <c r="I61" s="141">
        <f t="shared" si="3"/>
        <v>500</v>
      </c>
      <c r="J61" s="141">
        <f t="shared" si="3"/>
        <v>100</v>
      </c>
      <c r="K61" s="141"/>
      <c r="L61" s="141"/>
    </row>
    <row r="63" spans="1:12" x14ac:dyDescent="0.2">
      <c r="B63" s="60" t="s">
        <v>85</v>
      </c>
      <c r="C63" s="60"/>
    </row>
    <row r="64" spans="1:12" x14ac:dyDescent="0.2">
      <c r="B64" t="s">
        <v>108</v>
      </c>
    </row>
    <row r="65" spans="2:13" x14ac:dyDescent="0.2">
      <c r="B65" s="130"/>
      <c r="D65" s="130"/>
      <c r="E65" s="130"/>
      <c r="F65" s="130"/>
      <c r="G65" s="130"/>
      <c r="M65" s="130"/>
    </row>
    <row r="66" spans="2:13" x14ac:dyDescent="0.2">
      <c r="B66" s="130"/>
    </row>
    <row r="67" spans="2:13" x14ac:dyDescent="0.2">
      <c r="B67" s="130"/>
    </row>
    <row r="68" spans="2:13" x14ac:dyDescent="0.2">
      <c r="B68" s="130"/>
    </row>
    <row r="69" spans="2:13" x14ac:dyDescent="0.2">
      <c r="B69" s="130"/>
    </row>
    <row r="70" spans="2:13" x14ac:dyDescent="0.2">
      <c r="B70" s="130"/>
    </row>
    <row r="71" spans="2:13" x14ac:dyDescent="0.2">
      <c r="B71" s="130"/>
    </row>
    <row r="72" spans="2:13" x14ac:dyDescent="0.2">
      <c r="B72" s="130"/>
    </row>
    <row r="73" spans="2:13" x14ac:dyDescent="0.2">
      <c r="B73" s="130"/>
    </row>
    <row r="74" spans="2:13" x14ac:dyDescent="0.2">
      <c r="B74" s="131"/>
      <c r="C74" s="131"/>
    </row>
    <row r="75" spans="2:13" x14ac:dyDescent="0.2">
      <c r="B75" s="130"/>
    </row>
    <row r="77" spans="2:13" x14ac:dyDescent="0.2">
      <c r="B77" s="132"/>
      <c r="C77" s="132"/>
    </row>
    <row r="78" spans="2:13" x14ac:dyDescent="0.2">
      <c r="B78" s="131"/>
      <c r="C78" s="131"/>
    </row>
  </sheetData>
  <pageMargins left="0.7" right="0.7" top="0.75" bottom="0.75" header="0.3" footer="0.3"/>
  <pageSetup paperSize="9" scale="7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61"/>
  <sheetViews>
    <sheetView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H31" sqref="H31"/>
    </sheetView>
  </sheetViews>
  <sheetFormatPr baseColWidth="10" defaultRowHeight="15" x14ac:dyDescent="0.2"/>
  <cols>
    <col min="1" max="1" width="6.6640625" customWidth="1"/>
    <col min="2" max="2" width="35.5" customWidth="1"/>
    <col min="3" max="3" width="7.5" style="142" customWidth="1"/>
    <col min="4" max="4" width="14.5" bestFit="1" customWidth="1"/>
    <col min="5" max="5" width="15.6640625" customWidth="1"/>
    <col min="6" max="6" width="15.6640625" bestFit="1" customWidth="1"/>
    <col min="7" max="7" width="13.33203125" bestFit="1" customWidth="1"/>
    <col min="8" max="8" width="15.6640625" style="142" customWidth="1"/>
    <col min="9" max="12" width="13.33203125" style="142" customWidth="1"/>
  </cols>
  <sheetData>
    <row r="1" spans="1:12" ht="23" x14ac:dyDescent="0.25">
      <c r="B1" s="1" t="s">
        <v>143</v>
      </c>
      <c r="C1" s="1"/>
      <c r="D1" s="2"/>
      <c r="E1" s="3"/>
      <c r="F1" s="3"/>
      <c r="G1" s="3"/>
      <c r="H1" s="3"/>
      <c r="I1" s="3"/>
      <c r="J1" s="3"/>
      <c r="K1" s="3"/>
      <c r="L1" s="3"/>
    </row>
    <row r="2" spans="1:12" ht="23" x14ac:dyDescent="0.25">
      <c r="B2" s="1"/>
      <c r="C2" s="1"/>
      <c r="D2" s="2"/>
      <c r="E2" s="3"/>
      <c r="F2" s="3"/>
      <c r="G2" s="3"/>
      <c r="H2" s="3"/>
      <c r="I2" s="3"/>
      <c r="J2" s="3"/>
      <c r="K2" s="3"/>
      <c r="L2" s="3"/>
    </row>
    <row r="3" spans="1:12" x14ac:dyDescent="0.2">
      <c r="A3" s="27" t="s">
        <v>0</v>
      </c>
      <c r="B3" s="26" t="s">
        <v>1</v>
      </c>
      <c r="C3" s="166" t="s">
        <v>75</v>
      </c>
      <c r="D3" s="27" t="s">
        <v>87</v>
      </c>
      <c r="E3" s="27" t="s">
        <v>109</v>
      </c>
      <c r="F3" s="27" t="s">
        <v>133</v>
      </c>
      <c r="G3" s="27" t="s">
        <v>106</v>
      </c>
      <c r="H3" s="27" t="s">
        <v>135</v>
      </c>
      <c r="I3" s="27" t="s">
        <v>125</v>
      </c>
      <c r="J3" s="27" t="s">
        <v>155</v>
      </c>
      <c r="K3" s="27" t="s">
        <v>163</v>
      </c>
      <c r="L3" s="27" t="s">
        <v>195</v>
      </c>
    </row>
    <row r="4" spans="1:12" x14ac:dyDescent="0.2">
      <c r="A4" s="13">
        <v>3110</v>
      </c>
      <c r="B4" s="13" t="s">
        <v>2</v>
      </c>
      <c r="C4" s="167"/>
      <c r="D4" s="136"/>
      <c r="E4" s="136"/>
      <c r="F4" s="136"/>
      <c r="G4" s="28"/>
      <c r="H4" s="136"/>
      <c r="I4" s="136"/>
      <c r="J4" s="136"/>
      <c r="K4" s="136"/>
      <c r="L4" s="136"/>
    </row>
    <row r="5" spans="1:12" x14ac:dyDescent="0.2">
      <c r="A5" s="13">
        <v>3115</v>
      </c>
      <c r="B5" s="13" t="s">
        <v>3</v>
      </c>
      <c r="C5" s="167"/>
      <c r="D5" s="136"/>
      <c r="E5" s="136"/>
      <c r="F5" s="136"/>
      <c r="G5" s="28"/>
      <c r="H5" s="136"/>
      <c r="I5" s="136"/>
      <c r="J5" s="136"/>
      <c r="K5" s="136"/>
      <c r="L5" s="136"/>
    </row>
    <row r="6" spans="1:12" x14ac:dyDescent="0.2">
      <c r="A6" s="13">
        <v>3400</v>
      </c>
      <c r="B6" s="13" t="s">
        <v>4</v>
      </c>
      <c r="D6" s="136"/>
      <c r="E6" s="136"/>
      <c r="F6" s="136">
        <v>137500</v>
      </c>
      <c r="G6" s="28"/>
      <c r="H6" s="136"/>
      <c r="I6" s="136"/>
      <c r="J6" s="136"/>
      <c r="K6" s="136"/>
      <c r="L6" s="136"/>
    </row>
    <row r="7" spans="1:12" x14ac:dyDescent="0.2">
      <c r="A7" s="13">
        <v>3440</v>
      </c>
      <c r="B7" s="13" t="s">
        <v>55</v>
      </c>
      <c r="C7" s="167"/>
      <c r="D7" s="136">
        <v>22922.02</v>
      </c>
      <c r="E7" s="136">
        <v>5397</v>
      </c>
      <c r="F7" s="136">
        <v>6184.51</v>
      </c>
      <c r="G7" s="28">
        <v>6000</v>
      </c>
      <c r="H7" s="212">
        <v>8107.48</v>
      </c>
      <c r="I7" s="136">
        <v>6200</v>
      </c>
      <c r="J7" s="136">
        <v>8500</v>
      </c>
      <c r="K7" s="136">
        <v>8252</v>
      </c>
      <c r="L7" s="136">
        <v>8000</v>
      </c>
    </row>
    <row r="8" spans="1:12" x14ac:dyDescent="0.2">
      <c r="A8" s="13">
        <v>3605</v>
      </c>
      <c r="B8" s="13" t="s">
        <v>5</v>
      </c>
      <c r="C8" s="167"/>
      <c r="D8" s="136">
        <v>10050</v>
      </c>
      <c r="E8" s="136">
        <v>13950</v>
      </c>
      <c r="F8" s="136">
        <f>5550+950+950</f>
        <v>7450</v>
      </c>
      <c r="G8" s="28">
        <v>13000</v>
      </c>
      <c r="H8" s="136">
        <v>9000</v>
      </c>
      <c r="I8" s="136">
        <v>10000</v>
      </c>
      <c r="J8" s="136">
        <v>10000</v>
      </c>
      <c r="K8" s="226">
        <v>1450</v>
      </c>
      <c r="L8" s="136">
        <v>5000</v>
      </c>
    </row>
    <row r="9" spans="1:12" x14ac:dyDescent="0.2">
      <c r="A9" s="13">
        <v>3620</v>
      </c>
      <c r="B9" s="23" t="s">
        <v>89</v>
      </c>
      <c r="C9" s="169"/>
      <c r="D9" s="136"/>
      <c r="E9" s="136"/>
      <c r="F9" s="136"/>
      <c r="G9" s="28"/>
      <c r="H9" s="136"/>
      <c r="I9" s="136"/>
      <c r="J9" s="136"/>
      <c r="K9" s="136"/>
      <c r="L9" s="136"/>
    </row>
    <row r="10" spans="1:12" x14ac:dyDescent="0.2">
      <c r="A10" s="13">
        <v>3920</v>
      </c>
      <c r="B10" s="13" t="s">
        <v>6</v>
      </c>
      <c r="C10" s="167"/>
      <c r="D10" s="136"/>
      <c r="E10" s="136"/>
      <c r="F10" s="136"/>
      <c r="G10" s="28"/>
      <c r="H10" s="136"/>
      <c r="I10" s="136"/>
      <c r="J10" s="136"/>
      <c r="K10" s="136"/>
      <c r="L10" s="136"/>
    </row>
    <row r="11" spans="1:12" x14ac:dyDescent="0.2">
      <c r="A11" s="13">
        <v>3925</v>
      </c>
      <c r="B11" s="13" t="s">
        <v>7</v>
      </c>
      <c r="C11" s="167"/>
      <c r="D11" s="136"/>
      <c r="E11" s="136"/>
      <c r="F11" s="136"/>
      <c r="G11" s="28"/>
      <c r="H11" s="136"/>
      <c r="I11" s="136"/>
      <c r="J11" s="136"/>
      <c r="K11" s="136"/>
      <c r="L11" s="136"/>
    </row>
    <row r="12" spans="1:12" x14ac:dyDescent="0.2">
      <c r="A12" s="13">
        <v>3926</v>
      </c>
      <c r="B12" s="23" t="s">
        <v>13</v>
      </c>
      <c r="C12" s="169"/>
      <c r="D12" s="167"/>
      <c r="E12" s="136"/>
      <c r="F12" s="136"/>
      <c r="G12" s="28"/>
      <c r="H12" s="136"/>
      <c r="I12" s="136"/>
      <c r="J12" s="136"/>
      <c r="K12" s="136"/>
      <c r="L12" s="136"/>
    </row>
    <row r="13" spans="1:12" x14ac:dyDescent="0.2">
      <c r="A13" s="13">
        <v>3950</v>
      </c>
      <c r="B13" s="13" t="s">
        <v>9</v>
      </c>
      <c r="C13" s="167"/>
      <c r="D13" s="136"/>
      <c r="E13" s="136"/>
      <c r="F13" s="136"/>
      <c r="G13" s="28"/>
      <c r="H13" s="136"/>
      <c r="I13" s="136"/>
      <c r="J13" s="136"/>
      <c r="K13" s="136"/>
      <c r="L13" s="136"/>
    </row>
    <row r="14" spans="1:12" x14ac:dyDescent="0.2">
      <c r="A14" s="13">
        <v>3970</v>
      </c>
      <c r="B14" s="13" t="s">
        <v>10</v>
      </c>
      <c r="C14" s="167"/>
      <c r="D14" s="136"/>
      <c r="E14" s="136"/>
      <c r="F14" s="136"/>
      <c r="G14" s="28"/>
      <c r="H14" s="136"/>
      <c r="I14" s="136"/>
      <c r="J14" s="136"/>
      <c r="K14" s="136"/>
      <c r="L14" s="136"/>
    </row>
    <row r="15" spans="1:12" x14ac:dyDescent="0.2">
      <c r="A15" s="13">
        <v>3975</v>
      </c>
      <c r="B15" s="13" t="s">
        <v>11</v>
      </c>
      <c r="C15" s="167"/>
      <c r="D15" s="136"/>
      <c r="E15" s="136"/>
      <c r="F15" s="136"/>
      <c r="G15" s="28"/>
      <c r="H15" s="136"/>
      <c r="I15" s="136"/>
      <c r="J15" s="136"/>
      <c r="K15" s="136"/>
      <c r="L15" s="136"/>
    </row>
    <row r="16" spans="1:12" x14ac:dyDescent="0.2">
      <c r="A16" s="13">
        <v>3980</v>
      </c>
      <c r="B16" s="13" t="s">
        <v>12</v>
      </c>
      <c r="C16" s="167"/>
      <c r="D16" s="136"/>
      <c r="E16" s="136"/>
      <c r="F16" s="136"/>
      <c r="G16" s="28"/>
      <c r="H16" s="136"/>
      <c r="I16" s="136"/>
      <c r="J16" s="136"/>
      <c r="K16" s="136"/>
      <c r="L16" s="136"/>
    </row>
    <row r="17" spans="1:13" x14ac:dyDescent="0.2">
      <c r="A17" s="13">
        <v>3990</v>
      </c>
      <c r="B17" s="23" t="s">
        <v>8</v>
      </c>
      <c r="C17" s="169"/>
      <c r="D17" s="136"/>
      <c r="E17" s="136"/>
      <c r="F17" s="136"/>
      <c r="G17" s="28"/>
      <c r="H17" s="136"/>
      <c r="I17" s="136"/>
      <c r="J17" s="136"/>
      <c r="K17" s="136"/>
      <c r="L17" s="136"/>
    </row>
    <row r="18" spans="1:13" x14ac:dyDescent="0.2">
      <c r="A18" s="13"/>
      <c r="B18" s="30" t="s">
        <v>14</v>
      </c>
      <c r="C18" s="170"/>
      <c r="D18" s="138">
        <f t="shared" ref="D18:L18" si="0">SUM(D4:D17)</f>
        <v>32972.020000000004</v>
      </c>
      <c r="E18" s="138">
        <f t="shared" si="0"/>
        <v>19347</v>
      </c>
      <c r="F18" s="138">
        <f t="shared" si="0"/>
        <v>151134.51</v>
      </c>
      <c r="G18" s="31">
        <f>SUM(G4:G17)</f>
        <v>19000</v>
      </c>
      <c r="H18" s="138">
        <f t="shared" si="0"/>
        <v>17107.48</v>
      </c>
      <c r="I18" s="138">
        <f t="shared" si="0"/>
        <v>16200</v>
      </c>
      <c r="J18" s="138">
        <f t="shared" si="0"/>
        <v>18500</v>
      </c>
      <c r="K18" s="138">
        <f t="shared" si="0"/>
        <v>9702</v>
      </c>
      <c r="L18" s="138">
        <f t="shared" si="0"/>
        <v>13000</v>
      </c>
    </row>
    <row r="19" spans="1:13" x14ac:dyDescent="0.2">
      <c r="A19" s="13"/>
      <c r="B19" s="12" t="s">
        <v>15</v>
      </c>
      <c r="C19" s="171"/>
      <c r="D19" s="133"/>
      <c r="E19" s="133"/>
      <c r="F19" s="133"/>
      <c r="G19" s="22"/>
      <c r="H19" s="133"/>
      <c r="I19" s="133"/>
      <c r="J19" s="133"/>
      <c r="K19" s="133"/>
      <c r="L19" s="133"/>
    </row>
    <row r="20" spans="1:13" x14ac:dyDescent="0.2">
      <c r="A20" s="13">
        <v>4210</v>
      </c>
      <c r="B20" s="13" t="s">
        <v>16</v>
      </c>
      <c r="C20" s="167"/>
      <c r="D20" s="133"/>
      <c r="E20" s="133"/>
      <c r="F20" s="133"/>
      <c r="G20" s="22"/>
      <c r="H20" s="133"/>
      <c r="I20" s="133"/>
      <c r="J20" s="133"/>
      <c r="K20" s="133"/>
      <c r="L20" s="133"/>
    </row>
    <row r="21" spans="1:13" x14ac:dyDescent="0.2">
      <c r="A21" s="13">
        <v>4220</v>
      </c>
      <c r="B21" s="13" t="s">
        <v>17</v>
      </c>
      <c r="C21" s="167"/>
      <c r="D21" s="133"/>
      <c r="E21" s="133"/>
      <c r="F21" s="133"/>
      <c r="G21" s="22"/>
      <c r="H21" s="133"/>
      <c r="I21" s="133"/>
      <c r="J21" s="133"/>
      <c r="K21" s="133"/>
      <c r="L21" s="133"/>
    </row>
    <row r="22" spans="1:13" x14ac:dyDescent="0.2">
      <c r="A22" s="13">
        <v>4225</v>
      </c>
      <c r="B22" s="13" t="s">
        <v>19</v>
      </c>
      <c r="C22" s="167"/>
      <c r="D22" s="133"/>
      <c r="E22" s="133"/>
      <c r="F22" s="133"/>
      <c r="G22" s="22"/>
      <c r="H22" s="133"/>
      <c r="I22" s="133"/>
      <c r="J22" s="133"/>
      <c r="K22" s="133"/>
      <c r="L22" s="133"/>
    </row>
    <row r="23" spans="1:13" x14ac:dyDescent="0.2">
      <c r="A23" s="13">
        <v>4300</v>
      </c>
      <c r="B23" s="13" t="s">
        <v>18</v>
      </c>
      <c r="C23" s="167"/>
      <c r="D23" s="133"/>
      <c r="E23" s="133"/>
      <c r="F23" s="133"/>
      <c r="G23" s="22"/>
      <c r="H23" s="133">
        <f>1607.85-1608</f>
        <v>-0.15000000000009095</v>
      </c>
      <c r="I23" s="133"/>
      <c r="J23" s="133"/>
      <c r="K23" s="133"/>
      <c r="L23" s="133"/>
    </row>
    <row r="24" spans="1:13" x14ac:dyDescent="0.2">
      <c r="A24" s="13">
        <v>5000</v>
      </c>
      <c r="B24" s="13" t="s">
        <v>20</v>
      </c>
      <c r="C24" s="167"/>
      <c r="D24" s="133"/>
      <c r="E24" s="133"/>
      <c r="F24" s="133"/>
      <c r="G24" s="22"/>
      <c r="H24" s="133"/>
      <c r="I24" s="133"/>
      <c r="J24" s="133"/>
      <c r="K24" s="133"/>
      <c r="L24" s="133"/>
    </row>
    <row r="25" spans="1:13" x14ac:dyDescent="0.2">
      <c r="A25" s="13">
        <v>6315</v>
      </c>
      <c r="B25" s="13" t="s">
        <v>22</v>
      </c>
      <c r="C25" s="167"/>
      <c r="D25" s="133"/>
      <c r="E25" s="133">
        <v>3369</v>
      </c>
      <c r="F25" s="121">
        <v>3489.84</v>
      </c>
      <c r="G25" s="22">
        <v>3000</v>
      </c>
      <c r="H25" s="121">
        <v>5807.36</v>
      </c>
      <c r="I25" s="133">
        <v>3500</v>
      </c>
      <c r="J25" s="133">
        <v>5000</v>
      </c>
      <c r="K25" s="133"/>
      <c r="L25" s="133">
        <v>5000</v>
      </c>
      <c r="M25" t="s">
        <v>226</v>
      </c>
    </row>
    <row r="26" spans="1:13" x14ac:dyDescent="0.2">
      <c r="A26" s="13">
        <v>6316</v>
      </c>
      <c r="B26" s="13" t="s">
        <v>39</v>
      </c>
      <c r="C26" s="167"/>
      <c r="D26" s="133"/>
      <c r="E26" s="133"/>
      <c r="F26" s="121">
        <v>3125</v>
      </c>
      <c r="G26" s="22"/>
      <c r="H26" s="121"/>
      <c r="I26" s="133"/>
      <c r="J26" s="133"/>
      <c r="K26" s="133"/>
      <c r="L26" s="133"/>
    </row>
    <row r="27" spans="1:13" x14ac:dyDescent="0.2">
      <c r="A27" s="13">
        <v>6320</v>
      </c>
      <c r="B27" s="13" t="s">
        <v>23</v>
      </c>
      <c r="C27" s="167"/>
      <c r="D27" s="133">
        <v>8848</v>
      </c>
      <c r="E27" s="133">
        <v>10887</v>
      </c>
      <c r="F27" s="121">
        <v>10554</v>
      </c>
      <c r="G27" s="22">
        <v>11000</v>
      </c>
      <c r="H27" s="121">
        <v>7741</v>
      </c>
      <c r="I27" s="133">
        <v>11000</v>
      </c>
      <c r="J27" s="133">
        <v>9000</v>
      </c>
      <c r="K27" s="226">
        <v>8095</v>
      </c>
      <c r="L27" s="133">
        <v>10000</v>
      </c>
    </row>
    <row r="28" spans="1:13" x14ac:dyDescent="0.2">
      <c r="A28" s="13">
        <v>6340</v>
      </c>
      <c r="B28" s="13" t="s">
        <v>41</v>
      </c>
      <c r="C28" s="167"/>
      <c r="D28" s="133">
        <v>38498</v>
      </c>
      <c r="E28" s="133">
        <f>38860+6345</f>
        <v>45205</v>
      </c>
      <c r="F28" s="121">
        <v>46777.79</v>
      </c>
      <c r="G28" s="22">
        <v>43000</v>
      </c>
      <c r="H28" s="121">
        <v>50705.91</v>
      </c>
      <c r="I28" s="133">
        <v>47000</v>
      </c>
      <c r="J28" s="133">
        <v>51000</v>
      </c>
      <c r="K28" s="226">
        <v>43544.49</v>
      </c>
      <c r="L28" s="133">
        <v>45000</v>
      </c>
    </row>
    <row r="29" spans="1:13" x14ac:dyDescent="0.2">
      <c r="A29" s="13">
        <v>6320</v>
      </c>
      <c r="B29" s="13" t="s">
        <v>42</v>
      </c>
      <c r="C29" s="167"/>
      <c r="D29" s="133">
        <v>6725</v>
      </c>
      <c r="E29" s="133">
        <v>6998</v>
      </c>
      <c r="F29" s="121">
        <v>7155</v>
      </c>
      <c r="G29" s="22">
        <v>7000</v>
      </c>
      <c r="H29" s="121">
        <v>9736.6200000000008</v>
      </c>
      <c r="I29" s="133">
        <v>7200</v>
      </c>
      <c r="J29" s="133">
        <v>10000</v>
      </c>
      <c r="K29" s="226">
        <v>6212.5</v>
      </c>
      <c r="L29" s="133">
        <v>7000</v>
      </c>
    </row>
    <row r="30" spans="1:13" x14ac:dyDescent="0.2">
      <c r="A30" s="13">
        <v>6550</v>
      </c>
      <c r="B30" s="13" t="s">
        <v>40</v>
      </c>
      <c r="C30" s="167"/>
      <c r="D30" s="133">
        <v>3447.43</v>
      </c>
      <c r="E30" s="133">
        <v>7837</v>
      </c>
      <c r="F30" s="121"/>
      <c r="G30" s="22">
        <v>30000</v>
      </c>
      <c r="H30" s="121">
        <v>3181.05</v>
      </c>
      <c r="I30" s="133"/>
      <c r="J30" s="133"/>
      <c r="K30" s="133"/>
      <c r="L30" s="133"/>
    </row>
    <row r="31" spans="1:13" x14ac:dyDescent="0.2">
      <c r="A31" s="13">
        <v>6600</v>
      </c>
      <c r="B31" s="9" t="s">
        <v>24</v>
      </c>
      <c r="C31" s="177"/>
      <c r="D31" s="133"/>
      <c r="E31" s="133">
        <v>13244</v>
      </c>
      <c r="F31" s="121">
        <v>459190.08</v>
      </c>
      <c r="G31" s="22">
        <v>250000</v>
      </c>
      <c r="H31" s="121">
        <f>33224+11412.5</f>
        <v>44636.5</v>
      </c>
      <c r="I31" s="133">
        <v>20000</v>
      </c>
      <c r="J31" s="133">
        <v>20000</v>
      </c>
      <c r="K31" s="226">
        <v>8498</v>
      </c>
      <c r="L31" s="133">
        <v>45000</v>
      </c>
      <c r="M31" t="s">
        <v>222</v>
      </c>
    </row>
    <row r="32" spans="1:13" x14ac:dyDescent="0.2">
      <c r="A32" s="13">
        <v>6620</v>
      </c>
      <c r="B32" s="13" t="s">
        <v>25</v>
      </c>
      <c r="C32" s="167"/>
      <c r="D32" s="133">
        <v>24088</v>
      </c>
      <c r="E32" s="133">
        <v>20148</v>
      </c>
      <c r="F32" s="121"/>
      <c r="G32" s="22">
        <v>20000</v>
      </c>
      <c r="H32" s="121"/>
      <c r="I32" s="133">
        <v>10000</v>
      </c>
      <c r="J32" s="133"/>
      <c r="K32" s="133"/>
      <c r="L32" s="133"/>
    </row>
    <row r="33" spans="1:12" x14ac:dyDescent="0.2">
      <c r="A33" s="13">
        <v>6630</v>
      </c>
      <c r="B33" s="13" t="s">
        <v>47</v>
      </c>
      <c r="C33" s="167"/>
      <c r="D33" s="133"/>
      <c r="E33" s="133">
        <v>935</v>
      </c>
      <c r="F33" s="121">
        <v>10010</v>
      </c>
      <c r="G33" s="22">
        <v>1000</v>
      </c>
      <c r="H33" s="121">
        <v>2306</v>
      </c>
      <c r="I33" s="133">
        <v>10000</v>
      </c>
      <c r="J33" s="133">
        <v>5000</v>
      </c>
      <c r="K33" s="133"/>
      <c r="L33" s="133">
        <v>5000</v>
      </c>
    </row>
    <row r="34" spans="1:12" x14ac:dyDescent="0.2">
      <c r="A34" s="13">
        <v>6705</v>
      </c>
      <c r="B34" s="23" t="s">
        <v>28</v>
      </c>
      <c r="C34" s="169"/>
      <c r="D34" s="133"/>
      <c r="E34" s="133"/>
      <c r="F34" s="121"/>
      <c r="G34" s="22"/>
      <c r="H34" s="121"/>
      <c r="I34" s="133"/>
      <c r="J34" s="133"/>
      <c r="K34" s="133"/>
      <c r="L34" s="133"/>
    </row>
    <row r="35" spans="1:12" x14ac:dyDescent="0.2">
      <c r="A35" s="13">
        <v>6800</v>
      </c>
      <c r="B35" s="13" t="s">
        <v>43</v>
      </c>
      <c r="C35" s="167"/>
      <c r="D35" s="133"/>
      <c r="E35" s="133"/>
      <c r="F35" s="121"/>
      <c r="G35" s="22"/>
      <c r="H35" s="121"/>
      <c r="I35" s="133"/>
      <c r="J35" s="133"/>
      <c r="K35" s="133"/>
      <c r="L35" s="133"/>
    </row>
    <row r="36" spans="1:12" x14ac:dyDescent="0.2">
      <c r="A36" s="13">
        <v>6840</v>
      </c>
      <c r="B36" s="13" t="s">
        <v>26</v>
      </c>
      <c r="C36" s="167"/>
      <c r="D36" s="133"/>
      <c r="E36" s="133"/>
      <c r="F36" s="121"/>
      <c r="G36" s="22"/>
      <c r="H36" s="121"/>
      <c r="I36" s="133"/>
      <c r="J36" s="133"/>
      <c r="K36" s="133"/>
      <c r="L36" s="133"/>
    </row>
    <row r="37" spans="1:12" x14ac:dyDescent="0.2">
      <c r="A37" s="13">
        <v>6860</v>
      </c>
      <c r="B37" s="13" t="s">
        <v>27</v>
      </c>
      <c r="C37" s="167"/>
      <c r="D37" s="133"/>
      <c r="E37" s="133"/>
      <c r="F37" s="121"/>
      <c r="G37" s="22"/>
      <c r="H37" s="121"/>
      <c r="I37" s="133"/>
      <c r="J37" s="133"/>
      <c r="K37" s="133"/>
      <c r="L37" s="133"/>
    </row>
    <row r="38" spans="1:12" x14ac:dyDescent="0.2">
      <c r="A38" s="13">
        <v>6900</v>
      </c>
      <c r="B38" s="23" t="s">
        <v>44</v>
      </c>
      <c r="C38" s="169"/>
      <c r="D38" s="133"/>
      <c r="E38" s="133"/>
      <c r="F38" s="121"/>
      <c r="G38" s="22"/>
      <c r="H38" s="121"/>
      <c r="I38" s="133"/>
      <c r="J38" s="133"/>
      <c r="K38" s="133"/>
      <c r="L38" s="133"/>
    </row>
    <row r="39" spans="1:12" x14ac:dyDescent="0.2">
      <c r="A39" s="13">
        <v>6940</v>
      </c>
      <c r="B39" s="13" t="s">
        <v>29</v>
      </c>
      <c r="C39" s="167"/>
      <c r="D39" s="133"/>
      <c r="E39" s="133"/>
      <c r="F39" s="121"/>
      <c r="G39" s="22"/>
      <c r="H39" s="121"/>
      <c r="I39" s="133"/>
      <c r="J39" s="133"/>
      <c r="K39" s="133"/>
      <c r="L39" s="133"/>
    </row>
    <row r="40" spans="1:12" x14ac:dyDescent="0.2">
      <c r="A40" s="13">
        <v>7000</v>
      </c>
      <c r="B40" s="13" t="s">
        <v>48</v>
      </c>
      <c r="C40" s="167"/>
      <c r="D40" s="133"/>
      <c r="E40" s="133"/>
      <c r="F40" s="121"/>
      <c r="G40" s="22"/>
      <c r="H40" s="121"/>
      <c r="I40" s="133"/>
      <c r="J40" s="133"/>
      <c r="K40" s="133"/>
      <c r="L40" s="133"/>
    </row>
    <row r="41" spans="1:12" x14ac:dyDescent="0.2">
      <c r="A41" s="13">
        <v>7140</v>
      </c>
      <c r="B41" s="13" t="s">
        <v>45</v>
      </c>
      <c r="C41" s="167"/>
      <c r="D41" s="133"/>
      <c r="E41" s="133"/>
      <c r="F41" s="121"/>
      <c r="G41" s="22"/>
      <c r="H41" s="121"/>
      <c r="I41" s="133"/>
      <c r="J41" s="133"/>
      <c r="K41" s="133"/>
      <c r="L41" s="133"/>
    </row>
    <row r="42" spans="1:12" x14ac:dyDescent="0.2">
      <c r="A42" s="13">
        <v>7320</v>
      </c>
      <c r="B42" s="23" t="s">
        <v>30</v>
      </c>
      <c r="C42" s="169"/>
      <c r="D42" s="133"/>
      <c r="E42" s="133"/>
      <c r="F42" s="121"/>
      <c r="G42" s="22"/>
      <c r="H42" s="121"/>
      <c r="I42" s="133"/>
      <c r="J42" s="133"/>
      <c r="K42" s="133"/>
      <c r="L42" s="133"/>
    </row>
    <row r="43" spans="1:12" x14ac:dyDescent="0.2">
      <c r="A43" s="13">
        <v>7400</v>
      </c>
      <c r="B43" s="13" t="s">
        <v>31</v>
      </c>
      <c r="C43" s="167"/>
      <c r="D43" s="133"/>
      <c r="E43" s="133"/>
      <c r="F43" s="121"/>
      <c r="G43" s="22"/>
      <c r="H43" s="121"/>
      <c r="I43" s="133"/>
      <c r="J43" s="133"/>
      <c r="K43" s="133"/>
      <c r="L43" s="133"/>
    </row>
    <row r="44" spans="1:12" x14ac:dyDescent="0.2">
      <c r="A44" s="13">
        <v>7420</v>
      </c>
      <c r="B44" s="13" t="s">
        <v>12</v>
      </c>
      <c r="C44" s="167"/>
      <c r="D44" s="133"/>
      <c r="E44" s="133"/>
      <c r="F44" s="121"/>
      <c r="G44" s="22"/>
      <c r="H44" s="121"/>
      <c r="I44" s="133"/>
      <c r="J44" s="133"/>
      <c r="K44" s="133"/>
      <c r="L44" s="133"/>
    </row>
    <row r="45" spans="1:12" x14ac:dyDescent="0.2">
      <c r="A45" s="13">
        <v>7500</v>
      </c>
      <c r="B45" s="13" t="s">
        <v>21</v>
      </c>
      <c r="C45" s="167"/>
      <c r="D45" s="133"/>
      <c r="E45" s="133"/>
      <c r="F45" s="121"/>
      <c r="G45" s="22"/>
      <c r="H45" s="121">
        <f>33972-16986-16986</f>
        <v>0</v>
      </c>
      <c r="I45" s="133"/>
      <c r="J45" s="133"/>
      <c r="K45" s="226">
        <v>15225</v>
      </c>
      <c r="L45" s="133">
        <v>16000</v>
      </c>
    </row>
    <row r="46" spans="1:12" s="142" customFormat="1" x14ac:dyDescent="0.2">
      <c r="A46" s="13">
        <v>7745</v>
      </c>
      <c r="B46" s="13" t="s">
        <v>90</v>
      </c>
      <c r="C46" s="167"/>
      <c r="D46" s="133"/>
      <c r="E46" s="133"/>
      <c r="F46" s="121"/>
      <c r="G46" s="133"/>
      <c r="H46" s="121"/>
      <c r="I46" s="133"/>
      <c r="J46" s="133"/>
      <c r="K46" s="133"/>
      <c r="L46" s="133"/>
    </row>
    <row r="47" spans="1:12" x14ac:dyDescent="0.2">
      <c r="A47" s="13">
        <v>7750</v>
      </c>
      <c r="B47" s="13" t="s">
        <v>32</v>
      </c>
      <c r="C47" s="167"/>
      <c r="D47" s="133"/>
      <c r="E47" s="133"/>
      <c r="F47" s="121"/>
      <c r="G47" s="22"/>
      <c r="H47" s="121"/>
      <c r="I47" s="133"/>
      <c r="J47" s="133"/>
      <c r="K47" s="133"/>
      <c r="L47" s="133"/>
    </row>
    <row r="48" spans="1:12" x14ac:dyDescent="0.2">
      <c r="A48" s="13">
        <v>7755</v>
      </c>
      <c r="B48" s="13" t="s">
        <v>33</v>
      </c>
      <c r="C48" s="167"/>
      <c r="D48" s="133"/>
      <c r="E48" s="133"/>
      <c r="F48" s="121"/>
      <c r="G48" s="22"/>
      <c r="H48" s="121"/>
      <c r="I48" s="133"/>
      <c r="J48" s="133"/>
      <c r="K48" s="133"/>
      <c r="L48" s="133"/>
    </row>
    <row r="49" spans="1:12" x14ac:dyDescent="0.2">
      <c r="A49" s="13">
        <v>7770</v>
      </c>
      <c r="B49" s="13" t="s">
        <v>46</v>
      </c>
      <c r="C49" s="167"/>
      <c r="D49" s="133"/>
      <c r="E49" s="133"/>
      <c r="F49" s="121"/>
      <c r="G49" s="22"/>
      <c r="H49" s="121"/>
      <c r="I49" s="133"/>
      <c r="J49" s="133"/>
      <c r="K49" s="133"/>
      <c r="L49" s="133"/>
    </row>
    <row r="50" spans="1:12" x14ac:dyDescent="0.2">
      <c r="A50" s="13">
        <v>7790</v>
      </c>
      <c r="B50" s="13" t="s">
        <v>34</v>
      </c>
      <c r="C50" s="167"/>
      <c r="D50" s="133"/>
      <c r="E50" s="133"/>
      <c r="F50" s="121"/>
      <c r="G50" s="22"/>
      <c r="H50" s="121"/>
      <c r="I50" s="133"/>
      <c r="J50" s="133"/>
      <c r="K50" s="133"/>
      <c r="L50" s="133"/>
    </row>
    <row r="51" spans="1:12" x14ac:dyDescent="0.2">
      <c r="A51" s="13">
        <v>6010</v>
      </c>
      <c r="B51" s="23" t="s">
        <v>35</v>
      </c>
      <c r="C51" s="169"/>
      <c r="D51" s="133"/>
      <c r="E51" s="133"/>
      <c r="F51" s="121"/>
      <c r="G51" s="22"/>
      <c r="H51" s="121"/>
      <c r="I51" s="133"/>
      <c r="J51" s="133"/>
      <c r="K51" s="133"/>
      <c r="L51" s="133"/>
    </row>
    <row r="52" spans="1:12" x14ac:dyDescent="0.2">
      <c r="A52" s="13"/>
      <c r="B52" s="26" t="s">
        <v>36</v>
      </c>
      <c r="C52" s="166"/>
      <c r="D52" s="139">
        <f>SUM(D20:D51)</f>
        <v>81606.429999999993</v>
      </c>
      <c r="E52" s="139">
        <f t="shared" ref="E52:L52" si="1">SUM(E19:E51)</f>
        <v>108623</v>
      </c>
      <c r="F52" s="139">
        <f t="shared" si="1"/>
        <v>540301.71</v>
      </c>
      <c r="G52" s="32">
        <f>SUM(G19:G51)</f>
        <v>365000</v>
      </c>
      <c r="H52" s="139">
        <f t="shared" si="1"/>
        <v>124114.29000000001</v>
      </c>
      <c r="I52" s="139">
        <f t="shared" si="1"/>
        <v>108700</v>
      </c>
      <c r="J52" s="139">
        <f t="shared" si="1"/>
        <v>100000</v>
      </c>
      <c r="K52" s="139">
        <f t="shared" si="1"/>
        <v>81574.989999999991</v>
      </c>
      <c r="L52" s="139">
        <f t="shared" si="1"/>
        <v>133000</v>
      </c>
    </row>
    <row r="53" spans="1:12" x14ac:dyDescent="0.2">
      <c r="A53" s="13"/>
      <c r="B53" s="33"/>
      <c r="C53" s="172"/>
      <c r="D53" s="137"/>
      <c r="E53" s="137"/>
      <c r="F53" s="137"/>
      <c r="G53" s="29"/>
      <c r="H53" s="137"/>
      <c r="I53" s="137"/>
      <c r="J53" s="137"/>
      <c r="K53" s="137"/>
      <c r="L53" s="137"/>
    </row>
    <row r="54" spans="1:12" x14ac:dyDescent="0.2">
      <c r="A54" s="13"/>
      <c r="B54" s="26" t="s">
        <v>38</v>
      </c>
      <c r="C54" s="166"/>
      <c r="D54" s="139">
        <f>(D18-D52)</f>
        <v>-48634.409999999989</v>
      </c>
      <c r="E54" s="139">
        <f t="shared" ref="E54:L54" si="2">E18-E52</f>
        <v>-89276</v>
      </c>
      <c r="F54" s="139">
        <f t="shared" si="2"/>
        <v>-389167.19999999995</v>
      </c>
      <c r="G54" s="32">
        <f t="shared" si="2"/>
        <v>-346000</v>
      </c>
      <c r="H54" s="139">
        <f t="shared" si="2"/>
        <v>-107006.81000000001</v>
      </c>
      <c r="I54" s="139">
        <f t="shared" si="2"/>
        <v>-92500</v>
      </c>
      <c r="J54" s="139">
        <f t="shared" si="2"/>
        <v>-81500</v>
      </c>
      <c r="K54" s="139">
        <f t="shared" si="2"/>
        <v>-71872.989999999991</v>
      </c>
      <c r="L54" s="139">
        <f t="shared" si="2"/>
        <v>-120000</v>
      </c>
    </row>
    <row r="55" spans="1:12" x14ac:dyDescent="0.2">
      <c r="A55" s="23"/>
      <c r="B55" s="23"/>
      <c r="C55" s="169"/>
      <c r="D55" s="134"/>
      <c r="E55" s="134"/>
      <c r="F55" s="134"/>
      <c r="G55" s="23"/>
      <c r="H55" s="134"/>
      <c r="I55" s="134"/>
      <c r="J55" s="134"/>
      <c r="K55" s="134"/>
      <c r="L55" s="134"/>
    </row>
    <row r="56" spans="1:12" x14ac:dyDescent="0.2">
      <c r="A56" s="23"/>
      <c r="B56" s="24" t="s">
        <v>49</v>
      </c>
      <c r="C56" s="173"/>
      <c r="D56" s="135"/>
      <c r="E56" s="135"/>
      <c r="F56" s="135"/>
      <c r="G56" s="25"/>
      <c r="H56" s="135"/>
      <c r="I56" s="135"/>
      <c r="J56" s="135"/>
      <c r="K56" s="135"/>
      <c r="L56" s="135"/>
    </row>
    <row r="57" spans="1:12" x14ac:dyDescent="0.2">
      <c r="A57" s="23"/>
      <c r="B57" s="23" t="s">
        <v>50</v>
      </c>
      <c r="C57" s="169"/>
      <c r="D57" s="135"/>
      <c r="E57" s="135"/>
      <c r="F57" s="135"/>
      <c r="G57" s="25"/>
      <c r="H57" s="135"/>
      <c r="I57" s="135"/>
      <c r="J57" s="135"/>
      <c r="K57" s="135"/>
      <c r="L57" s="135"/>
    </row>
    <row r="58" spans="1:12" x14ac:dyDescent="0.2">
      <c r="A58" s="23"/>
      <c r="B58" s="23" t="s">
        <v>52</v>
      </c>
      <c r="C58" s="169"/>
      <c r="D58" s="135"/>
      <c r="E58" s="135"/>
      <c r="F58" s="135"/>
      <c r="G58" s="25"/>
      <c r="H58" s="135"/>
      <c r="I58" s="135"/>
      <c r="J58" s="135"/>
      <c r="K58" s="135"/>
      <c r="L58" s="135"/>
    </row>
    <row r="59" spans="1:12" x14ac:dyDescent="0.2">
      <c r="A59" s="23"/>
      <c r="B59" s="34" t="s">
        <v>53</v>
      </c>
      <c r="C59" s="174"/>
      <c r="D59" s="140">
        <f>D57-D58</f>
        <v>0</v>
      </c>
      <c r="E59" s="140">
        <f>E57-E58</f>
        <v>0</v>
      </c>
      <c r="F59" s="140">
        <f>F57-F58</f>
        <v>0</v>
      </c>
      <c r="G59" s="35">
        <f>G57-G58</f>
        <v>0</v>
      </c>
      <c r="H59" s="140"/>
      <c r="I59" s="140">
        <f>I57-I58</f>
        <v>0</v>
      </c>
      <c r="J59" s="140">
        <f>J57-J58</f>
        <v>0</v>
      </c>
      <c r="K59" s="140"/>
      <c r="L59" s="140"/>
    </row>
    <row r="60" spans="1:12" x14ac:dyDescent="0.2">
      <c r="A60" s="23"/>
      <c r="B60" s="23"/>
      <c r="C60" s="169"/>
      <c r="D60" s="135"/>
      <c r="E60" s="135"/>
      <c r="F60" s="135"/>
      <c r="G60" s="25"/>
      <c r="H60" s="135"/>
      <c r="I60" s="135"/>
      <c r="J60" s="135"/>
      <c r="K60" s="135"/>
      <c r="L60" s="135"/>
    </row>
    <row r="61" spans="1:12" x14ac:dyDescent="0.2">
      <c r="A61" s="23"/>
      <c r="B61" s="36" t="s">
        <v>37</v>
      </c>
      <c r="C61" s="175"/>
      <c r="D61" s="141">
        <f t="shared" ref="D61:J61" si="3">D54+D59</f>
        <v>-48634.409999999989</v>
      </c>
      <c r="E61" s="141">
        <f t="shared" si="3"/>
        <v>-89276</v>
      </c>
      <c r="F61" s="141">
        <f t="shared" si="3"/>
        <v>-389167.19999999995</v>
      </c>
      <c r="G61" s="37">
        <f t="shared" si="3"/>
        <v>-346000</v>
      </c>
      <c r="H61" s="141">
        <f t="shared" si="3"/>
        <v>-107006.81000000001</v>
      </c>
      <c r="I61" s="141">
        <f t="shared" si="3"/>
        <v>-92500</v>
      </c>
      <c r="J61" s="141">
        <f t="shared" si="3"/>
        <v>-81500</v>
      </c>
      <c r="K61" s="141"/>
      <c r="L61" s="141"/>
    </row>
  </sheetData>
  <pageMargins left="0.7" right="0.7" top="0.75" bottom="0.75" header="0.3" footer="0.3"/>
  <pageSetup paperSize="9" scale="73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61"/>
  <sheetViews>
    <sheetView workbookViewId="0">
      <pane xSplit="2" ySplit="3" topLeftCell="E20" activePane="bottomRight" state="frozen"/>
      <selection pane="topRight" activeCell="C1" sqref="C1"/>
      <selection pane="bottomLeft" activeCell="A4" sqref="A4"/>
      <selection pane="bottomRight" activeCell="L29" sqref="L29"/>
    </sheetView>
  </sheetViews>
  <sheetFormatPr baseColWidth="10" defaultRowHeight="15" x14ac:dyDescent="0.2"/>
  <cols>
    <col min="1" max="1" width="7.5" customWidth="1"/>
    <col min="2" max="2" width="27.6640625" customWidth="1"/>
    <col min="3" max="3" width="8.1640625" style="142" customWidth="1"/>
    <col min="4" max="4" width="14.5" bestFit="1" customWidth="1"/>
    <col min="5" max="5" width="15.6640625" customWidth="1"/>
    <col min="6" max="6" width="15.6640625" bestFit="1" customWidth="1"/>
    <col min="7" max="7" width="13.33203125" bestFit="1" customWidth="1"/>
    <col min="8" max="8" width="15.6640625" style="142" customWidth="1"/>
    <col min="9" max="12" width="13.33203125" style="142" customWidth="1"/>
  </cols>
  <sheetData>
    <row r="1" spans="1:12" ht="23" x14ac:dyDescent="0.25">
      <c r="B1" s="1" t="s">
        <v>142</v>
      </c>
      <c r="C1" s="1"/>
      <c r="D1" s="2"/>
      <c r="E1" s="3"/>
      <c r="F1" s="3"/>
      <c r="G1" s="3"/>
      <c r="H1" s="3"/>
      <c r="I1" s="3"/>
      <c r="J1" s="3"/>
      <c r="K1" s="3"/>
      <c r="L1" s="3"/>
    </row>
    <row r="2" spans="1:12" ht="23" x14ac:dyDescent="0.25">
      <c r="B2" s="1"/>
      <c r="C2" s="1"/>
      <c r="D2" s="2"/>
      <c r="E2" s="3"/>
      <c r="F2" s="3"/>
      <c r="G2" s="3"/>
      <c r="H2" s="3"/>
      <c r="I2" s="3"/>
      <c r="J2" s="3"/>
      <c r="K2" s="3"/>
      <c r="L2" s="3"/>
    </row>
    <row r="3" spans="1:12" x14ac:dyDescent="0.2">
      <c r="A3" s="27" t="s">
        <v>0</v>
      </c>
      <c r="B3" s="26" t="s">
        <v>1</v>
      </c>
      <c r="C3" s="166" t="s">
        <v>75</v>
      </c>
      <c r="D3" s="27" t="s">
        <v>87</v>
      </c>
      <c r="E3" s="27" t="s">
        <v>109</v>
      </c>
      <c r="F3" s="27" t="s">
        <v>133</v>
      </c>
      <c r="G3" s="27" t="s">
        <v>106</v>
      </c>
      <c r="H3" s="27" t="s">
        <v>135</v>
      </c>
      <c r="I3" s="27" t="s">
        <v>125</v>
      </c>
      <c r="J3" s="27" t="s">
        <v>155</v>
      </c>
      <c r="K3" s="27" t="s">
        <v>163</v>
      </c>
      <c r="L3" s="27" t="s">
        <v>195</v>
      </c>
    </row>
    <row r="4" spans="1:12" x14ac:dyDescent="0.2">
      <c r="A4" s="13">
        <v>3110</v>
      </c>
      <c r="B4" s="13" t="s">
        <v>2</v>
      </c>
      <c r="C4" s="167"/>
      <c r="D4" s="136"/>
      <c r="E4" s="136"/>
      <c r="F4" s="136"/>
      <c r="G4" s="28"/>
      <c r="H4" s="136"/>
      <c r="I4" s="136"/>
      <c r="J4" s="136"/>
      <c r="K4" s="136"/>
      <c r="L4" s="136"/>
    </row>
    <row r="5" spans="1:12" x14ac:dyDescent="0.2">
      <c r="A5" s="13">
        <v>3115</v>
      </c>
      <c r="B5" s="13" t="s">
        <v>3</v>
      </c>
      <c r="C5" s="167"/>
      <c r="D5" s="136"/>
      <c r="E5" s="136"/>
      <c r="F5" s="136"/>
      <c r="G5" s="28"/>
      <c r="H5" s="136"/>
      <c r="I5" s="136"/>
      <c r="J5" s="136"/>
      <c r="K5" s="136"/>
      <c r="L5" s="136"/>
    </row>
    <row r="6" spans="1:12" x14ac:dyDescent="0.2">
      <c r="A6" s="13">
        <v>3400</v>
      </c>
      <c r="B6" s="13" t="s">
        <v>4</v>
      </c>
      <c r="C6" s="167"/>
      <c r="D6" s="136"/>
      <c r="E6" s="136"/>
      <c r="F6" s="136"/>
      <c r="G6" s="28"/>
      <c r="H6" s="136"/>
      <c r="I6" s="136"/>
      <c r="J6" s="136"/>
      <c r="K6" s="136"/>
      <c r="L6" s="136"/>
    </row>
    <row r="7" spans="1:12" x14ac:dyDescent="0.2">
      <c r="A7" s="13">
        <v>3440</v>
      </c>
      <c r="B7" s="13" t="s">
        <v>55</v>
      </c>
      <c r="C7" s="167"/>
      <c r="D7" s="136"/>
      <c r="E7" s="136"/>
      <c r="F7" s="136"/>
      <c r="G7" s="28"/>
      <c r="H7" s="136"/>
      <c r="I7" s="136"/>
      <c r="J7" s="136"/>
      <c r="K7" s="136"/>
      <c r="L7" s="136"/>
    </row>
    <row r="8" spans="1:12" x14ac:dyDescent="0.2">
      <c r="A8" s="13">
        <v>3605</v>
      </c>
      <c r="B8" s="13" t="s">
        <v>5</v>
      </c>
      <c r="C8" s="167"/>
      <c r="D8" s="136">
        <v>5600</v>
      </c>
      <c r="E8" s="136">
        <v>9350</v>
      </c>
      <c r="F8" s="136">
        <v>5500</v>
      </c>
      <c r="G8" s="28">
        <v>8000</v>
      </c>
      <c r="H8" s="136">
        <v>-500</v>
      </c>
      <c r="I8" s="136">
        <v>7000</v>
      </c>
      <c r="J8" s="212"/>
      <c r="K8" s="212">
        <v>3800</v>
      </c>
      <c r="L8" s="212">
        <v>7000</v>
      </c>
    </row>
    <row r="9" spans="1:12" x14ac:dyDescent="0.2">
      <c r="A9" s="13">
        <v>3620</v>
      </c>
      <c r="B9" s="23" t="s">
        <v>89</v>
      </c>
      <c r="C9" s="169"/>
      <c r="D9" s="136"/>
      <c r="E9" s="136"/>
      <c r="F9" s="136"/>
      <c r="G9" s="28"/>
      <c r="H9" s="136"/>
      <c r="I9" s="136"/>
      <c r="J9" s="136"/>
      <c r="K9" s="136"/>
      <c r="L9" s="136"/>
    </row>
    <row r="10" spans="1:12" x14ac:dyDescent="0.2">
      <c r="A10" s="13">
        <v>3920</v>
      </c>
      <c r="B10" s="13" t="s">
        <v>6</v>
      </c>
      <c r="C10" s="167"/>
      <c r="D10" s="136"/>
      <c r="E10" s="136"/>
      <c r="F10" s="136"/>
      <c r="G10" s="28"/>
      <c r="H10" s="136"/>
      <c r="I10" s="136"/>
      <c r="J10" s="136"/>
      <c r="K10" s="136"/>
      <c r="L10" s="136"/>
    </row>
    <row r="11" spans="1:12" x14ac:dyDescent="0.2">
      <c r="A11" s="13">
        <v>3925</v>
      </c>
      <c r="B11" s="13" t="s">
        <v>7</v>
      </c>
      <c r="C11" s="167"/>
      <c r="D11" s="136"/>
      <c r="E11" s="136"/>
      <c r="F11" s="136"/>
      <c r="G11" s="28"/>
      <c r="H11" s="136"/>
      <c r="I11" s="136"/>
      <c r="J11" s="136"/>
      <c r="K11" s="136"/>
      <c r="L11" s="136"/>
    </row>
    <row r="12" spans="1:12" x14ac:dyDescent="0.2">
      <c r="A12" s="13">
        <v>3926</v>
      </c>
      <c r="B12" s="23" t="s">
        <v>13</v>
      </c>
      <c r="C12" s="169"/>
      <c r="D12" s="136"/>
      <c r="E12" s="136"/>
      <c r="F12" s="136"/>
      <c r="G12" s="28"/>
      <c r="H12" s="136"/>
      <c r="I12" s="136"/>
      <c r="J12" s="136"/>
      <c r="K12" s="136"/>
      <c r="L12" s="136"/>
    </row>
    <row r="13" spans="1:12" x14ac:dyDescent="0.2">
      <c r="A13" s="13">
        <v>3950</v>
      </c>
      <c r="B13" s="13" t="s">
        <v>9</v>
      </c>
      <c r="C13" s="167"/>
      <c r="D13" s="136"/>
      <c r="E13" s="136"/>
      <c r="F13" s="136"/>
      <c r="G13" s="28"/>
      <c r="H13" s="136"/>
      <c r="I13" s="136"/>
      <c r="J13" s="136"/>
      <c r="K13" s="136"/>
      <c r="L13" s="136"/>
    </row>
    <row r="14" spans="1:12" x14ac:dyDescent="0.2">
      <c r="A14" s="13">
        <v>3970</v>
      </c>
      <c r="B14" s="13" t="s">
        <v>10</v>
      </c>
      <c r="C14" s="167"/>
      <c r="D14" s="136"/>
      <c r="E14" s="136"/>
      <c r="F14" s="136"/>
      <c r="G14" s="28"/>
      <c r="H14" s="136"/>
      <c r="I14" s="136"/>
      <c r="J14" s="136"/>
      <c r="K14" s="136"/>
      <c r="L14" s="136"/>
    </row>
    <row r="15" spans="1:12" x14ac:dyDescent="0.2">
      <c r="A15" s="13">
        <v>3975</v>
      </c>
      <c r="B15" s="13" t="s">
        <v>11</v>
      </c>
      <c r="C15" s="167"/>
      <c r="D15" s="136"/>
      <c r="E15" s="136"/>
      <c r="F15" s="136"/>
      <c r="G15" s="28"/>
      <c r="H15" s="136"/>
      <c r="I15" s="136"/>
      <c r="J15" s="136"/>
      <c r="K15" s="136"/>
      <c r="L15" s="136"/>
    </row>
    <row r="16" spans="1:12" x14ac:dyDescent="0.2">
      <c r="A16" s="13">
        <v>3980</v>
      </c>
      <c r="B16" s="13" t="s">
        <v>12</v>
      </c>
      <c r="C16" s="167"/>
      <c r="D16" s="136"/>
      <c r="E16" s="136"/>
      <c r="F16" s="136"/>
      <c r="G16" s="28"/>
      <c r="H16" s="136"/>
      <c r="I16" s="136"/>
      <c r="J16" s="136"/>
      <c r="K16" s="226">
        <v>10000</v>
      </c>
      <c r="L16" s="136"/>
    </row>
    <row r="17" spans="1:13" x14ac:dyDescent="0.2">
      <c r="A17" s="13">
        <v>3990</v>
      </c>
      <c r="B17" s="23" t="s">
        <v>8</v>
      </c>
      <c r="C17" s="169"/>
      <c r="D17" s="136"/>
      <c r="E17" s="136"/>
      <c r="F17" s="136"/>
      <c r="G17" s="28"/>
      <c r="H17" s="136"/>
      <c r="I17" s="136"/>
      <c r="J17" s="136"/>
      <c r="K17" s="136"/>
      <c r="L17" s="136"/>
    </row>
    <row r="18" spans="1:13" x14ac:dyDescent="0.2">
      <c r="A18" s="13"/>
      <c r="B18" s="30" t="s">
        <v>14</v>
      </c>
      <c r="C18" s="170"/>
      <c r="D18" s="138">
        <f t="shared" ref="D18:L18" si="0">SUM(D4:D17)</f>
        <v>5600</v>
      </c>
      <c r="E18" s="138">
        <f t="shared" si="0"/>
        <v>9350</v>
      </c>
      <c r="F18" s="138">
        <f t="shared" si="0"/>
        <v>5500</v>
      </c>
      <c r="G18" s="31">
        <f>SUM(G4:G17)</f>
        <v>8000</v>
      </c>
      <c r="H18" s="138">
        <f t="shared" si="0"/>
        <v>-500</v>
      </c>
      <c r="I18" s="138">
        <f t="shared" si="0"/>
        <v>7000</v>
      </c>
      <c r="J18" s="138">
        <f t="shared" si="0"/>
        <v>0</v>
      </c>
      <c r="K18" s="138">
        <f t="shared" si="0"/>
        <v>13800</v>
      </c>
      <c r="L18" s="138">
        <f t="shared" si="0"/>
        <v>7000</v>
      </c>
    </row>
    <row r="19" spans="1:13" x14ac:dyDescent="0.2">
      <c r="A19" s="13"/>
      <c r="B19" s="12" t="s">
        <v>15</v>
      </c>
      <c r="C19" s="171"/>
      <c r="D19" s="133"/>
      <c r="E19" s="133"/>
      <c r="F19" s="133"/>
      <c r="G19" s="22"/>
      <c r="H19" s="133"/>
      <c r="I19" s="133"/>
      <c r="J19" s="133"/>
      <c r="K19" s="133"/>
      <c r="L19" s="133"/>
    </row>
    <row r="20" spans="1:13" x14ac:dyDescent="0.2">
      <c r="A20" s="13">
        <v>4210</v>
      </c>
      <c r="B20" s="13" t="s">
        <v>16</v>
      </c>
      <c r="C20" s="167"/>
      <c r="D20" s="133"/>
      <c r="E20" s="133"/>
      <c r="F20" s="133"/>
      <c r="G20" s="22"/>
      <c r="H20" s="133"/>
      <c r="I20" s="133"/>
      <c r="J20" s="133"/>
      <c r="K20" s="133"/>
      <c r="L20" s="133"/>
    </row>
    <row r="21" spans="1:13" x14ac:dyDescent="0.2">
      <c r="A21" s="13">
        <v>4220</v>
      </c>
      <c r="B21" s="13" t="s">
        <v>17</v>
      </c>
      <c r="C21" s="167"/>
      <c r="D21" s="133"/>
      <c r="E21" s="133"/>
      <c r="F21" s="133"/>
      <c r="G21" s="22"/>
      <c r="H21" s="133"/>
      <c r="I21" s="133"/>
      <c r="J21" s="133"/>
      <c r="K21" s="133"/>
      <c r="L21" s="133"/>
    </row>
    <row r="22" spans="1:13" x14ac:dyDescent="0.2">
      <c r="A22" s="13">
        <v>4225</v>
      </c>
      <c r="B22" s="13" t="s">
        <v>19</v>
      </c>
      <c r="C22" s="167"/>
      <c r="D22" s="133"/>
      <c r="E22" s="133"/>
      <c r="F22" s="133"/>
      <c r="G22" s="22"/>
      <c r="H22" s="133"/>
      <c r="I22" s="133"/>
      <c r="J22" s="133"/>
      <c r="K22" s="133"/>
      <c r="L22" s="133"/>
    </row>
    <row r="23" spans="1:13" x14ac:dyDescent="0.2">
      <c r="A23" s="13">
        <v>4300</v>
      </c>
      <c r="B23" s="13" t="s">
        <v>18</v>
      </c>
      <c r="C23" s="167"/>
      <c r="D23" s="133"/>
      <c r="E23" s="133"/>
      <c r="F23" s="133"/>
      <c r="G23" s="22"/>
      <c r="H23" s="133">
        <f>1607.85-1607.85</f>
        <v>0</v>
      </c>
      <c r="I23" s="133"/>
      <c r="J23" s="133"/>
      <c r="K23" s="133"/>
      <c r="L23" s="133"/>
    </row>
    <row r="24" spans="1:13" x14ac:dyDescent="0.2">
      <c r="A24" s="13">
        <v>5000</v>
      </c>
      <c r="B24" s="13" t="s">
        <v>20</v>
      </c>
      <c r="C24" s="167"/>
      <c r="D24" s="133"/>
      <c r="E24" s="133"/>
      <c r="F24" s="133"/>
      <c r="G24" s="22"/>
      <c r="H24" s="133"/>
      <c r="I24" s="133"/>
      <c r="J24" s="133"/>
      <c r="K24" s="133"/>
      <c r="L24" s="133"/>
    </row>
    <row r="25" spans="1:13" x14ac:dyDescent="0.2">
      <c r="A25" s="13">
        <v>6315</v>
      </c>
      <c r="B25" s="13" t="s">
        <v>22</v>
      </c>
      <c r="C25" s="167"/>
      <c r="D25" s="133">
        <v>3786</v>
      </c>
      <c r="E25" s="133">
        <v>1966</v>
      </c>
      <c r="F25" s="121">
        <v>1083.3599999999999</v>
      </c>
      <c r="G25" s="22">
        <v>4000</v>
      </c>
      <c r="H25" s="121"/>
      <c r="I25" s="133">
        <v>2000</v>
      </c>
      <c r="J25" s="133">
        <v>1000</v>
      </c>
      <c r="K25" s="226">
        <v>2469.2399999999998</v>
      </c>
      <c r="L25" s="133">
        <v>5000</v>
      </c>
      <c r="M25" t="s">
        <v>225</v>
      </c>
    </row>
    <row r="26" spans="1:13" x14ac:dyDescent="0.2">
      <c r="A26" s="13">
        <v>6316</v>
      </c>
      <c r="B26" s="13" t="s">
        <v>39</v>
      </c>
      <c r="C26" s="167"/>
      <c r="D26" s="133">
        <v>10062.5</v>
      </c>
      <c r="E26" s="133">
        <v>10937.5</v>
      </c>
      <c r="F26" s="121">
        <v>7000</v>
      </c>
      <c r="G26" s="22">
        <v>10000</v>
      </c>
      <c r="H26" s="121">
        <f>-1500+1500+1500</f>
        <v>1500</v>
      </c>
      <c r="I26" s="133">
        <v>7000</v>
      </c>
      <c r="J26" s="133">
        <v>3000</v>
      </c>
      <c r="K26" s="133"/>
      <c r="L26" s="133"/>
    </row>
    <row r="27" spans="1:13" x14ac:dyDescent="0.2">
      <c r="A27" s="13">
        <v>6320</v>
      </c>
      <c r="B27" s="13" t="s">
        <v>23</v>
      </c>
      <c r="C27" s="167"/>
      <c r="D27" s="133">
        <v>7200</v>
      </c>
      <c r="E27" s="133">
        <v>7200</v>
      </c>
      <c r="F27" s="121">
        <v>8383</v>
      </c>
      <c r="G27" s="22">
        <v>8000</v>
      </c>
      <c r="H27" s="121"/>
      <c r="I27" s="133">
        <v>9000</v>
      </c>
      <c r="J27" s="133"/>
      <c r="K27" s="133"/>
      <c r="L27" s="133"/>
    </row>
    <row r="28" spans="1:13" x14ac:dyDescent="0.2">
      <c r="A28" s="13">
        <v>6340</v>
      </c>
      <c r="B28" s="13" t="s">
        <v>41</v>
      </c>
      <c r="C28" s="167"/>
      <c r="D28" s="133">
        <v>41319.94</v>
      </c>
      <c r="E28" s="133">
        <v>40931</v>
      </c>
      <c r="F28" s="121">
        <v>39474.06</v>
      </c>
      <c r="G28" s="22">
        <v>42000</v>
      </c>
      <c r="H28" s="121">
        <v>45409.04</v>
      </c>
      <c r="I28" s="133">
        <v>40000</v>
      </c>
      <c r="J28" s="133">
        <v>45000</v>
      </c>
      <c r="K28" s="226">
        <v>31620.259999999995</v>
      </c>
      <c r="L28" s="133">
        <v>40000</v>
      </c>
    </row>
    <row r="29" spans="1:13" x14ac:dyDescent="0.2">
      <c r="A29" s="13">
        <v>6340</v>
      </c>
      <c r="B29" s="13" t="s">
        <v>42</v>
      </c>
      <c r="C29" s="167"/>
      <c r="D29" s="133">
        <v>10690.6</v>
      </c>
      <c r="E29" s="133">
        <v>5821</v>
      </c>
      <c r="F29" s="121">
        <v>6464.9</v>
      </c>
      <c r="G29" s="22">
        <v>10000</v>
      </c>
      <c r="H29" s="121">
        <v>2735.04</v>
      </c>
      <c r="I29" s="133">
        <v>6500</v>
      </c>
      <c r="J29" s="121">
        <v>3000</v>
      </c>
      <c r="K29" s="226">
        <v>14132.820000000002</v>
      </c>
      <c r="L29" s="121">
        <v>20000</v>
      </c>
      <c r="M29" t="s">
        <v>502</v>
      </c>
    </row>
    <row r="30" spans="1:13" x14ac:dyDescent="0.2">
      <c r="A30" s="13">
        <v>6550</v>
      </c>
      <c r="B30" s="13" t="s">
        <v>40</v>
      </c>
      <c r="C30" s="167"/>
      <c r="D30" s="133">
        <v>499</v>
      </c>
      <c r="E30" s="133"/>
      <c r="F30" s="121"/>
      <c r="G30" s="22"/>
      <c r="H30" s="121">
        <v>2471.1</v>
      </c>
      <c r="I30" s="133"/>
      <c r="J30" s="133">
        <v>5000</v>
      </c>
      <c r="K30" s="133"/>
      <c r="L30" s="133">
        <v>15000</v>
      </c>
      <c r="M30" t="s">
        <v>224</v>
      </c>
    </row>
    <row r="31" spans="1:13" x14ac:dyDescent="0.2">
      <c r="A31" s="13">
        <v>6600</v>
      </c>
      <c r="B31" s="13" t="s">
        <v>24</v>
      </c>
      <c r="C31" s="167"/>
      <c r="D31" s="133">
        <v>23123</v>
      </c>
      <c r="E31" s="133">
        <v>12174</v>
      </c>
      <c r="F31" s="121">
        <v>1665</v>
      </c>
      <c r="G31" s="22">
        <v>10000</v>
      </c>
      <c r="H31" s="121">
        <v>704</v>
      </c>
      <c r="I31" s="133">
        <v>5000</v>
      </c>
      <c r="J31" s="133">
        <f>1000+42580</f>
        <v>43580</v>
      </c>
      <c r="K31" s="226">
        <v>91286</v>
      </c>
      <c r="L31" s="133">
        <v>45000</v>
      </c>
      <c r="M31" t="s">
        <v>223</v>
      </c>
    </row>
    <row r="32" spans="1:13" x14ac:dyDescent="0.2">
      <c r="A32" s="13">
        <v>6620</v>
      </c>
      <c r="B32" s="13" t="s">
        <v>25</v>
      </c>
      <c r="C32" s="167"/>
      <c r="D32" s="133">
        <v>6879</v>
      </c>
      <c r="E32" s="133"/>
      <c r="F32" s="121">
        <v>1250</v>
      </c>
      <c r="G32" s="22"/>
      <c r="H32" s="121"/>
      <c r="I32" s="133"/>
      <c r="J32" s="133"/>
      <c r="K32" s="226">
        <v>2694</v>
      </c>
      <c r="L32" s="133"/>
    </row>
    <row r="33" spans="1:12" x14ac:dyDescent="0.2">
      <c r="A33" s="13">
        <v>6630</v>
      </c>
      <c r="B33" s="13" t="s">
        <v>47</v>
      </c>
      <c r="C33" s="167"/>
      <c r="D33" s="133">
        <v>1656</v>
      </c>
      <c r="E33" s="133">
        <v>2806</v>
      </c>
      <c r="F33" s="121"/>
      <c r="G33" s="22">
        <v>2000</v>
      </c>
      <c r="H33" s="121"/>
      <c r="I33" s="133">
        <v>2000</v>
      </c>
      <c r="J33" s="133">
        <v>1000</v>
      </c>
      <c r="K33" s="133"/>
      <c r="L33" s="133"/>
    </row>
    <row r="34" spans="1:12" x14ac:dyDescent="0.2">
      <c r="A34" s="13">
        <v>6705</v>
      </c>
      <c r="B34" s="23" t="s">
        <v>28</v>
      </c>
      <c r="C34" s="169"/>
      <c r="D34" s="133"/>
      <c r="E34" s="133"/>
      <c r="F34" s="121"/>
      <c r="G34" s="22"/>
      <c r="H34" s="121"/>
      <c r="I34" s="133"/>
      <c r="J34" s="133"/>
      <c r="K34" s="133"/>
      <c r="L34" s="133"/>
    </row>
    <row r="35" spans="1:12" x14ac:dyDescent="0.2">
      <c r="A35" s="13">
        <v>6800</v>
      </c>
      <c r="B35" s="13" t="s">
        <v>43</v>
      </c>
      <c r="C35" s="167"/>
      <c r="D35" s="133"/>
      <c r="E35" s="133"/>
      <c r="F35" s="121"/>
      <c r="G35" s="22"/>
      <c r="H35" s="121">
        <v>487.5</v>
      </c>
      <c r="I35" s="133"/>
      <c r="J35" s="133"/>
      <c r="K35" s="133"/>
      <c r="L35" s="133"/>
    </row>
    <row r="36" spans="1:12" x14ac:dyDescent="0.2">
      <c r="A36" s="13">
        <v>6840</v>
      </c>
      <c r="B36" s="13" t="s">
        <v>26</v>
      </c>
      <c r="C36" s="167"/>
      <c r="D36" s="133"/>
      <c r="E36" s="133"/>
      <c r="F36" s="121"/>
      <c r="G36" s="22"/>
      <c r="H36" s="121"/>
      <c r="I36" s="133"/>
      <c r="J36" s="133"/>
      <c r="K36" s="133"/>
      <c r="L36" s="133"/>
    </row>
    <row r="37" spans="1:12" x14ac:dyDescent="0.2">
      <c r="A37" s="13">
        <v>6860</v>
      </c>
      <c r="B37" s="13" t="s">
        <v>27</v>
      </c>
      <c r="C37" s="167"/>
      <c r="D37" s="133"/>
      <c r="E37" s="133"/>
      <c r="F37" s="121"/>
      <c r="G37" s="22"/>
      <c r="H37" s="121"/>
      <c r="I37" s="133"/>
      <c r="J37" s="133"/>
      <c r="K37" s="133"/>
      <c r="L37" s="133"/>
    </row>
    <row r="38" spans="1:12" x14ac:dyDescent="0.2">
      <c r="A38" s="13">
        <v>6900</v>
      </c>
      <c r="B38" s="23" t="s">
        <v>44</v>
      </c>
      <c r="C38" s="169"/>
      <c r="D38" s="133"/>
      <c r="E38" s="133"/>
      <c r="F38" s="121"/>
      <c r="G38" s="22"/>
      <c r="H38" s="121"/>
      <c r="I38" s="133"/>
      <c r="J38" s="133"/>
      <c r="K38" s="133"/>
      <c r="L38" s="133"/>
    </row>
    <row r="39" spans="1:12" x14ac:dyDescent="0.2">
      <c r="A39" s="13">
        <v>6940</v>
      </c>
      <c r="B39" s="13" t="s">
        <v>29</v>
      </c>
      <c r="C39" s="167"/>
      <c r="D39" s="133"/>
      <c r="E39" s="133"/>
      <c r="F39" s="121"/>
      <c r="G39" s="22"/>
      <c r="H39" s="121"/>
      <c r="I39" s="133"/>
      <c r="J39" s="133"/>
      <c r="K39" s="133"/>
      <c r="L39" s="133"/>
    </row>
    <row r="40" spans="1:12" x14ac:dyDescent="0.2">
      <c r="A40" s="13">
        <v>7000</v>
      </c>
      <c r="B40" s="13" t="s">
        <v>48</v>
      </c>
      <c r="C40" s="167"/>
      <c r="D40" s="133"/>
      <c r="E40" s="133"/>
      <c r="F40" s="121"/>
      <c r="G40" s="22"/>
      <c r="H40" s="121"/>
      <c r="I40" s="133"/>
      <c r="J40" s="133"/>
      <c r="K40" s="133"/>
      <c r="L40" s="133"/>
    </row>
    <row r="41" spans="1:12" x14ac:dyDescent="0.2">
      <c r="A41" s="13">
        <v>7140</v>
      </c>
      <c r="B41" s="13" t="s">
        <v>45</v>
      </c>
      <c r="C41" s="167"/>
      <c r="D41" s="133"/>
      <c r="E41" s="133"/>
      <c r="F41" s="121"/>
      <c r="G41" s="22"/>
      <c r="H41" s="121"/>
      <c r="I41" s="133"/>
      <c r="J41" s="133"/>
      <c r="K41" s="133"/>
      <c r="L41" s="133"/>
    </row>
    <row r="42" spans="1:12" x14ac:dyDescent="0.2">
      <c r="A42" s="13">
        <v>7320</v>
      </c>
      <c r="B42" s="23" t="s">
        <v>30</v>
      </c>
      <c r="C42" s="169"/>
      <c r="D42" s="133"/>
      <c r="E42" s="133"/>
      <c r="F42" s="121"/>
      <c r="G42" s="22"/>
      <c r="H42" s="121"/>
      <c r="I42" s="133"/>
      <c r="J42" s="133"/>
      <c r="K42" s="133"/>
      <c r="L42" s="133"/>
    </row>
    <row r="43" spans="1:12" x14ac:dyDescent="0.2">
      <c r="A43" s="13">
        <v>7400</v>
      </c>
      <c r="B43" s="13" t="s">
        <v>31</v>
      </c>
      <c r="C43" s="167"/>
      <c r="D43" s="133"/>
      <c r="E43" s="133"/>
      <c r="F43" s="121"/>
      <c r="G43" s="22"/>
      <c r="H43" s="121"/>
      <c r="I43" s="133"/>
      <c r="J43" s="133"/>
      <c r="K43" s="133"/>
      <c r="L43" s="133"/>
    </row>
    <row r="44" spans="1:12" x14ac:dyDescent="0.2">
      <c r="A44" s="13">
        <v>7420</v>
      </c>
      <c r="B44" s="13" t="s">
        <v>12</v>
      </c>
      <c r="C44" s="167"/>
      <c r="D44" s="133"/>
      <c r="E44" s="133"/>
      <c r="F44" s="121"/>
      <c r="G44" s="22"/>
      <c r="H44" s="121"/>
      <c r="I44" s="133"/>
      <c r="J44" s="133"/>
      <c r="K44" s="133"/>
      <c r="L44" s="133"/>
    </row>
    <row r="45" spans="1:12" x14ac:dyDescent="0.2">
      <c r="A45" s="13">
        <v>7500</v>
      </c>
      <c r="B45" s="13" t="s">
        <v>21</v>
      </c>
      <c r="C45" s="167"/>
      <c r="D45" s="133"/>
      <c r="E45" s="133"/>
      <c r="F45" s="121"/>
      <c r="G45" s="22"/>
      <c r="H45" s="121">
        <f>59632-29816-29816</f>
        <v>0</v>
      </c>
      <c r="I45" s="133"/>
      <c r="J45" s="133"/>
      <c r="K45" s="226">
        <v>17617</v>
      </c>
      <c r="L45" s="133">
        <v>18000</v>
      </c>
    </row>
    <row r="46" spans="1:12" s="142" customFormat="1" x14ac:dyDescent="0.2">
      <c r="A46" s="13">
        <v>7745</v>
      </c>
      <c r="B46" s="13" t="s">
        <v>90</v>
      </c>
      <c r="C46" s="167"/>
      <c r="D46" s="133"/>
      <c r="E46" s="133"/>
      <c r="F46" s="121"/>
      <c r="G46" s="133"/>
      <c r="H46" s="121"/>
      <c r="I46" s="133"/>
      <c r="J46" s="133"/>
      <c r="K46" s="133"/>
      <c r="L46" s="133"/>
    </row>
    <row r="47" spans="1:12" x14ac:dyDescent="0.2">
      <c r="A47" s="13">
        <v>7750</v>
      </c>
      <c r="B47" s="13" t="s">
        <v>32</v>
      </c>
      <c r="C47" s="167"/>
      <c r="D47" s="133"/>
      <c r="E47" s="133"/>
      <c r="F47" s="121"/>
      <c r="G47" s="22"/>
      <c r="H47" s="121"/>
      <c r="I47" s="133"/>
      <c r="J47" s="133"/>
      <c r="K47" s="133"/>
      <c r="L47" s="133"/>
    </row>
    <row r="48" spans="1:12" x14ac:dyDescent="0.2">
      <c r="A48" s="13">
        <v>7755</v>
      </c>
      <c r="B48" s="13" t="s">
        <v>33</v>
      </c>
      <c r="C48" s="167"/>
      <c r="D48" s="133"/>
      <c r="E48" s="133"/>
      <c r="F48" s="121"/>
      <c r="G48" s="22"/>
      <c r="H48" s="121"/>
      <c r="I48" s="133"/>
      <c r="J48" s="133"/>
      <c r="K48" s="133"/>
      <c r="L48" s="133"/>
    </row>
    <row r="49" spans="1:12" x14ac:dyDescent="0.2">
      <c r="A49" s="13">
        <v>7770</v>
      </c>
      <c r="B49" s="13" t="s">
        <v>46</v>
      </c>
      <c r="C49" s="167"/>
      <c r="D49" s="133"/>
      <c r="E49" s="133"/>
      <c r="F49" s="121"/>
      <c r="G49" s="22"/>
      <c r="H49" s="121"/>
      <c r="I49" s="133"/>
      <c r="J49" s="133"/>
      <c r="K49" s="133"/>
      <c r="L49" s="133"/>
    </row>
    <row r="50" spans="1:12" x14ac:dyDescent="0.2">
      <c r="A50" s="13">
        <v>7790</v>
      </c>
      <c r="B50" s="13" t="s">
        <v>34</v>
      </c>
      <c r="C50" s="167"/>
      <c r="D50" s="133"/>
      <c r="E50" s="133"/>
      <c r="F50" s="121"/>
      <c r="G50" s="22"/>
      <c r="H50" s="121"/>
      <c r="I50" s="133"/>
      <c r="J50" s="133"/>
      <c r="K50" s="133"/>
      <c r="L50" s="133"/>
    </row>
    <row r="51" spans="1:12" x14ac:dyDescent="0.2">
      <c r="A51" s="13">
        <v>6010</v>
      </c>
      <c r="B51" s="23" t="s">
        <v>35</v>
      </c>
      <c r="C51" s="169"/>
      <c r="D51" s="133"/>
      <c r="E51" s="133"/>
      <c r="F51" s="121"/>
      <c r="G51" s="22"/>
      <c r="H51" s="121"/>
      <c r="I51" s="133"/>
      <c r="J51" s="133"/>
      <c r="K51" s="133"/>
      <c r="L51" s="133"/>
    </row>
    <row r="52" spans="1:12" x14ac:dyDescent="0.2">
      <c r="A52" s="13"/>
      <c r="B52" s="26" t="s">
        <v>36</v>
      </c>
      <c r="C52" s="166"/>
      <c r="D52" s="139">
        <f>SUM(D20:D51)</f>
        <v>105216.04000000001</v>
      </c>
      <c r="E52" s="139">
        <f t="shared" ref="E52:L52" si="1">SUM(E19:E51)</f>
        <v>81835.5</v>
      </c>
      <c r="F52" s="139">
        <f t="shared" si="1"/>
        <v>65320.32</v>
      </c>
      <c r="G52" s="32">
        <f>SUM(G19:G51)</f>
        <v>86000</v>
      </c>
      <c r="H52" s="139">
        <f t="shared" si="1"/>
        <v>53306.68</v>
      </c>
      <c r="I52" s="139">
        <f t="shared" si="1"/>
        <v>71500</v>
      </c>
      <c r="J52" s="139">
        <f t="shared" si="1"/>
        <v>101580</v>
      </c>
      <c r="K52" s="139">
        <f t="shared" si="1"/>
        <v>159819.32</v>
      </c>
      <c r="L52" s="139">
        <f t="shared" si="1"/>
        <v>143000</v>
      </c>
    </row>
    <row r="53" spans="1:12" x14ac:dyDescent="0.2">
      <c r="A53" s="13"/>
      <c r="B53" s="33"/>
      <c r="C53" s="172"/>
      <c r="D53" s="137"/>
      <c r="E53" s="137"/>
      <c r="F53" s="137"/>
      <c r="G53" s="29"/>
      <c r="H53" s="137"/>
      <c r="I53" s="137"/>
      <c r="J53" s="137"/>
      <c r="K53" s="137"/>
      <c r="L53" s="137"/>
    </row>
    <row r="54" spans="1:12" x14ac:dyDescent="0.2">
      <c r="A54" s="13"/>
      <c r="B54" s="26" t="s">
        <v>38</v>
      </c>
      <c r="C54" s="166"/>
      <c r="D54" s="139">
        <f>(D18-D52)</f>
        <v>-99616.040000000008</v>
      </c>
      <c r="E54" s="139">
        <f t="shared" ref="E54:L54" si="2">E18-E52</f>
        <v>-72485.5</v>
      </c>
      <c r="F54" s="139">
        <f t="shared" si="2"/>
        <v>-59820.32</v>
      </c>
      <c r="G54" s="32">
        <f t="shared" si="2"/>
        <v>-78000</v>
      </c>
      <c r="H54" s="139">
        <f t="shared" si="2"/>
        <v>-53806.68</v>
      </c>
      <c r="I54" s="139">
        <f t="shared" si="2"/>
        <v>-64500</v>
      </c>
      <c r="J54" s="139">
        <f t="shared" si="2"/>
        <v>-101580</v>
      </c>
      <c r="K54" s="139">
        <f t="shared" si="2"/>
        <v>-146019.32</v>
      </c>
      <c r="L54" s="139">
        <f t="shared" si="2"/>
        <v>-136000</v>
      </c>
    </row>
    <row r="55" spans="1:12" x14ac:dyDescent="0.2">
      <c r="A55" s="23"/>
      <c r="B55" s="23"/>
      <c r="C55" s="169"/>
      <c r="D55" s="134"/>
      <c r="E55" s="134"/>
      <c r="F55" s="134"/>
      <c r="G55" s="23"/>
      <c r="H55" s="134"/>
      <c r="I55" s="134"/>
      <c r="J55" s="134"/>
      <c r="K55" s="134"/>
      <c r="L55" s="134"/>
    </row>
    <row r="56" spans="1:12" x14ac:dyDescent="0.2">
      <c r="A56" s="23"/>
      <c r="B56" s="24" t="s">
        <v>49</v>
      </c>
      <c r="C56" s="173"/>
      <c r="D56" s="135"/>
      <c r="E56" s="135"/>
      <c r="F56" s="135"/>
      <c r="G56" s="25"/>
      <c r="H56" s="135"/>
      <c r="I56" s="135"/>
      <c r="J56" s="135"/>
      <c r="K56" s="135"/>
      <c r="L56" s="135"/>
    </row>
    <row r="57" spans="1:12" x14ac:dyDescent="0.2">
      <c r="A57" s="23"/>
      <c r="B57" s="23" t="s">
        <v>50</v>
      </c>
      <c r="C57" s="169"/>
      <c r="D57" s="135"/>
      <c r="E57" s="135"/>
      <c r="F57" s="135"/>
      <c r="G57" s="25"/>
      <c r="H57" s="135"/>
      <c r="I57" s="135"/>
      <c r="J57" s="135"/>
      <c r="K57" s="135"/>
      <c r="L57" s="135"/>
    </row>
    <row r="58" spans="1:12" x14ac:dyDescent="0.2">
      <c r="A58" s="23"/>
      <c r="B58" s="23" t="s">
        <v>52</v>
      </c>
      <c r="C58" s="169"/>
      <c r="D58" s="135"/>
      <c r="E58" s="135"/>
      <c r="F58" s="135"/>
      <c r="G58" s="25"/>
      <c r="H58" s="135"/>
      <c r="I58" s="135"/>
      <c r="J58" s="135"/>
      <c r="K58" s="135"/>
      <c r="L58" s="135"/>
    </row>
    <row r="59" spans="1:12" x14ac:dyDescent="0.2">
      <c r="A59" s="23"/>
      <c r="B59" s="34" t="s">
        <v>53</v>
      </c>
      <c r="C59" s="174"/>
      <c r="D59" s="140">
        <f>D57-D58</f>
        <v>0</v>
      </c>
      <c r="E59" s="140">
        <f>E57-E58</f>
        <v>0</v>
      </c>
      <c r="F59" s="140">
        <f>F57-F58</f>
        <v>0</v>
      </c>
      <c r="G59" s="35">
        <f>G57-G58</f>
        <v>0</v>
      </c>
      <c r="H59" s="140"/>
      <c r="I59" s="140">
        <f>I57-I58</f>
        <v>0</v>
      </c>
      <c r="J59" s="140">
        <f>J57-J58</f>
        <v>0</v>
      </c>
      <c r="K59" s="140"/>
      <c r="L59" s="140"/>
    </row>
    <row r="60" spans="1:12" x14ac:dyDescent="0.2">
      <c r="A60" s="23"/>
      <c r="B60" s="23"/>
      <c r="C60" s="169"/>
      <c r="D60" s="135"/>
      <c r="E60" s="135"/>
      <c r="F60" s="135"/>
      <c r="G60" s="25"/>
      <c r="H60" s="135"/>
      <c r="I60" s="135"/>
      <c r="J60" s="135"/>
      <c r="K60" s="135"/>
      <c r="L60" s="135"/>
    </row>
    <row r="61" spans="1:12" x14ac:dyDescent="0.2">
      <c r="A61" s="23"/>
      <c r="B61" s="36" t="s">
        <v>37</v>
      </c>
      <c r="C61" s="175"/>
      <c r="D61" s="141">
        <f t="shared" ref="D61:J61" si="3">D54+D59</f>
        <v>-99616.040000000008</v>
      </c>
      <c r="E61" s="141">
        <f t="shared" si="3"/>
        <v>-72485.5</v>
      </c>
      <c r="F61" s="141">
        <f t="shared" si="3"/>
        <v>-59820.32</v>
      </c>
      <c r="G61" s="37">
        <f t="shared" si="3"/>
        <v>-78000</v>
      </c>
      <c r="H61" s="141">
        <f t="shared" si="3"/>
        <v>-53806.68</v>
      </c>
      <c r="I61" s="141">
        <f t="shared" si="3"/>
        <v>-64500</v>
      </c>
      <c r="J61" s="141">
        <f t="shared" si="3"/>
        <v>-101580</v>
      </c>
      <c r="K61" s="141"/>
      <c r="L61" s="141"/>
    </row>
  </sheetData>
  <pageMargins left="0.7" right="0.7" top="0.75" bottom="0.75" header="0.3" footer="0.3"/>
  <pageSetup paperSize="9" scale="77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69"/>
  <sheetViews>
    <sheetView tabSelected="1" zoomScale="90" zoomScaleNormal="90" zoomScalePageLayoutView="125" workbookViewId="0">
      <pane xSplit="2" ySplit="4" topLeftCell="T48" activePane="bottomRight" state="frozen"/>
      <selection pane="topRight" activeCell="C1" sqref="C1"/>
      <selection pane="bottomLeft" activeCell="A5" sqref="A5"/>
      <selection pane="bottomRight" activeCell="X62" sqref="X62"/>
    </sheetView>
  </sheetViews>
  <sheetFormatPr baseColWidth="10" defaultRowHeight="15" x14ac:dyDescent="0.2"/>
  <cols>
    <col min="1" max="1" width="5.5" customWidth="1"/>
    <col min="2" max="2" width="25.5" customWidth="1"/>
    <col min="3" max="3" width="8.5" customWidth="1"/>
    <col min="4" max="4" width="9.5" customWidth="1"/>
    <col min="5" max="5" width="9.83203125" customWidth="1"/>
    <col min="6" max="6" width="8.6640625" customWidth="1"/>
    <col min="7" max="7" width="9.33203125" customWidth="1"/>
    <col min="8" max="8" width="9.83203125" customWidth="1"/>
    <col min="9" max="9" width="11.1640625" customWidth="1"/>
    <col min="10" max="10" width="10.33203125" bestFit="1" customWidth="1"/>
    <col min="11" max="11" width="10.1640625" customWidth="1"/>
    <col min="12" max="12" width="8.6640625" customWidth="1"/>
    <col min="13" max="13" width="9.33203125" customWidth="1"/>
    <col min="14" max="14" width="10.1640625" customWidth="1"/>
    <col min="15" max="15" width="8.33203125" customWidth="1"/>
    <col min="16" max="16" width="8.5" customWidth="1"/>
    <col min="17" max="17" width="10.1640625" customWidth="1"/>
    <col min="18" max="20" width="10.1640625" style="142" customWidth="1"/>
    <col min="21" max="21" width="16" customWidth="1"/>
    <col min="22" max="22" width="9.1640625" customWidth="1"/>
    <col min="23" max="23" width="9.5" customWidth="1"/>
    <col min="24" max="24" width="13.83203125" customWidth="1"/>
    <col min="25" max="25" width="0.83203125" customWidth="1"/>
    <col min="26" max="26" width="14.1640625" customWidth="1"/>
    <col min="27" max="27" width="1.5" customWidth="1"/>
    <col min="28" max="28" width="12.6640625" style="240" customWidth="1"/>
    <col min="29" max="29" width="12.6640625" style="142" customWidth="1"/>
    <col min="32" max="32" width="2" style="142" customWidth="1"/>
    <col min="33" max="33" width="9.83203125" style="142" customWidth="1"/>
    <col min="34" max="34" width="10.83203125" style="142"/>
  </cols>
  <sheetData>
    <row r="1" spans="1:36" ht="27.5" customHeight="1" x14ac:dyDescent="0.25">
      <c r="B1" s="1" t="s">
        <v>165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X1" s="4"/>
      <c r="Y1" s="4"/>
      <c r="Z1" s="4"/>
      <c r="AA1" s="4"/>
      <c r="AC1" s="4"/>
    </row>
    <row r="2" spans="1:36" ht="29.5" customHeight="1" thickBot="1" x14ac:dyDescent="0.3">
      <c r="B2" s="1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7" t="s">
        <v>127</v>
      </c>
      <c r="R2" s="7"/>
      <c r="S2" s="7"/>
      <c r="T2" s="7"/>
      <c r="U2" s="7"/>
      <c r="V2" s="7"/>
      <c r="W2" s="7"/>
      <c r="X2" s="4"/>
      <c r="Y2" s="4"/>
      <c r="Z2" s="4"/>
      <c r="AA2" s="4"/>
      <c r="AC2" s="4"/>
      <c r="AE2" s="279" t="s">
        <v>503</v>
      </c>
      <c r="AF2" s="279"/>
      <c r="AG2" s="279"/>
      <c r="AH2" s="279"/>
      <c r="AI2" s="279"/>
      <c r="AJ2" s="279"/>
    </row>
    <row r="3" spans="1:36" ht="19.25" customHeight="1" x14ac:dyDescent="0.25">
      <c r="A3" s="49"/>
      <c r="B3" s="50"/>
      <c r="C3" s="51" t="s">
        <v>56</v>
      </c>
      <c r="D3" s="52"/>
      <c r="E3" s="164"/>
      <c r="F3" s="51" t="s">
        <v>56</v>
      </c>
      <c r="G3" s="52" t="s">
        <v>57</v>
      </c>
      <c r="H3" s="164"/>
      <c r="I3" s="51" t="s">
        <v>56</v>
      </c>
      <c r="J3" s="52" t="s">
        <v>58</v>
      </c>
      <c r="K3" s="164"/>
      <c r="L3" s="51" t="s">
        <v>59</v>
      </c>
      <c r="M3" s="52" t="s">
        <v>60</v>
      </c>
      <c r="N3" s="164"/>
      <c r="O3" s="51" t="s">
        <v>61</v>
      </c>
      <c r="P3" s="52"/>
      <c r="Q3" s="165"/>
      <c r="R3" s="209"/>
      <c r="S3" s="51" t="s">
        <v>206</v>
      </c>
      <c r="T3" s="209"/>
      <c r="U3" s="150" t="s">
        <v>100</v>
      </c>
      <c r="V3" s="52"/>
      <c r="W3" s="53"/>
      <c r="X3" s="259" t="s">
        <v>62</v>
      </c>
      <c r="Y3" s="260"/>
      <c r="Z3" s="260"/>
      <c r="AA3" s="260"/>
      <c r="AB3" s="260"/>
      <c r="AC3" s="261"/>
      <c r="AE3" s="250" t="s">
        <v>208</v>
      </c>
      <c r="AF3" s="229"/>
      <c r="AG3" s="250" t="s">
        <v>501</v>
      </c>
      <c r="AH3" s="250" t="s">
        <v>232</v>
      </c>
      <c r="AI3" s="250" t="s">
        <v>230</v>
      </c>
      <c r="AJ3" s="250" t="s">
        <v>231</v>
      </c>
    </row>
    <row r="4" spans="1:36" ht="23.5" customHeight="1" thickBot="1" x14ac:dyDescent="0.25">
      <c r="A4" s="45" t="s">
        <v>0</v>
      </c>
      <c r="B4" s="153" t="s">
        <v>1</v>
      </c>
      <c r="C4" s="189">
        <v>2016</v>
      </c>
      <c r="D4" s="190">
        <v>2017</v>
      </c>
      <c r="E4" s="188" t="s">
        <v>204</v>
      </c>
      <c r="F4" s="191">
        <f>C4</f>
        <v>2016</v>
      </c>
      <c r="G4" s="190">
        <f>D4</f>
        <v>2017</v>
      </c>
      <c r="H4" s="188" t="str">
        <f>E4</f>
        <v>Bud 2018</v>
      </c>
      <c r="I4" s="191">
        <f>C4</f>
        <v>2016</v>
      </c>
      <c r="J4" s="190">
        <f>D4</f>
        <v>2017</v>
      </c>
      <c r="K4" s="188" t="str">
        <f>E4</f>
        <v>Bud 2018</v>
      </c>
      <c r="L4" s="191">
        <f>C4</f>
        <v>2016</v>
      </c>
      <c r="M4" s="190">
        <f>D4</f>
        <v>2017</v>
      </c>
      <c r="N4" s="190" t="str">
        <f>E4</f>
        <v>Bud 2018</v>
      </c>
      <c r="O4" s="191">
        <f>C4</f>
        <v>2016</v>
      </c>
      <c r="P4" s="191">
        <f>D4</f>
        <v>2017</v>
      </c>
      <c r="Q4" s="192" t="str">
        <f>E4</f>
        <v>Bud 2018</v>
      </c>
      <c r="R4" s="189">
        <v>2016</v>
      </c>
      <c r="S4" s="191">
        <v>2017</v>
      </c>
      <c r="T4" s="189" t="str">
        <f>E4</f>
        <v>Bud 2018</v>
      </c>
      <c r="U4" s="191">
        <f>C4</f>
        <v>2016</v>
      </c>
      <c r="V4" s="189">
        <f>D4</f>
        <v>2017</v>
      </c>
      <c r="W4" s="189" t="str">
        <f>E4</f>
        <v>Bud 2018</v>
      </c>
      <c r="X4" s="262" t="s">
        <v>133</v>
      </c>
      <c r="Y4" s="193" t="s">
        <v>51</v>
      </c>
      <c r="Z4" s="193" t="s">
        <v>134</v>
      </c>
      <c r="AA4" s="235" t="s">
        <v>155</v>
      </c>
      <c r="AB4" s="241" t="s">
        <v>205</v>
      </c>
      <c r="AC4" s="276" t="s">
        <v>195</v>
      </c>
      <c r="AE4" s="250"/>
      <c r="AF4" s="229"/>
      <c r="AG4" s="250"/>
      <c r="AH4" s="250"/>
      <c r="AI4" s="250"/>
      <c r="AJ4" s="250"/>
    </row>
    <row r="5" spans="1:36" ht="19.25" customHeight="1" x14ac:dyDescent="0.2">
      <c r="A5" s="42">
        <v>3110</v>
      </c>
      <c r="B5" s="42" t="s">
        <v>2</v>
      </c>
      <c r="C5" s="43">
        <f>'Turn '!H4</f>
        <v>0</v>
      </c>
      <c r="D5" s="43">
        <f>'Turn '!K4</f>
        <v>0</v>
      </c>
      <c r="E5" s="119">
        <f>'Turn '!L4</f>
        <v>3000</v>
      </c>
      <c r="F5" s="43">
        <f>Ski!H4</f>
        <v>0</v>
      </c>
      <c r="G5" s="43">
        <f>Ski!K4</f>
        <v>0</v>
      </c>
      <c r="H5" s="119">
        <f>Ski!L4</f>
        <v>0</v>
      </c>
      <c r="I5" s="43">
        <f>Fotball!I4</f>
        <v>0</v>
      </c>
      <c r="J5" s="43">
        <f>Fotball!K4</f>
        <v>0</v>
      </c>
      <c r="K5" s="119">
        <f>Fotball!L4</f>
        <v>0</v>
      </c>
      <c r="L5" s="43">
        <f>Sykkel!H4</f>
        <v>0</v>
      </c>
      <c r="M5" s="43">
        <f>Sykkel!K4</f>
        <v>0</v>
      </c>
      <c r="N5" s="119">
        <f>Sykkel!L4</f>
        <v>0</v>
      </c>
      <c r="O5" s="43">
        <f>'G &amp; T'!H4</f>
        <v>0</v>
      </c>
      <c r="P5" s="43">
        <f>'G &amp; T'!K4</f>
        <v>0</v>
      </c>
      <c r="Q5" s="119">
        <f>'G &amp; T'!L4</f>
        <v>0</v>
      </c>
      <c r="R5" s="119">
        <f>TKD!D4</f>
        <v>0</v>
      </c>
      <c r="S5" s="119">
        <f>TKD!F4</f>
        <v>0</v>
      </c>
      <c r="T5" s="119">
        <f>TKD!G4</f>
        <v>0</v>
      </c>
      <c r="U5" s="119">
        <f>Hovedlaget!H4+Anlegg!H4+Prestmarka!H4+Blilie!H4</f>
        <v>62053</v>
      </c>
      <c r="V5" s="119">
        <f>Hovedlaget!K4+Anlegg!K4+Prestmarka!K4+Blilie!K4</f>
        <v>61658</v>
      </c>
      <c r="W5" s="251">
        <f>Hovedlaget!L4+Anlegg!L4+Prestmarka!L4+Blilie!L4</f>
        <v>75000</v>
      </c>
      <c r="X5" s="263">
        <f>'Turn '!F4+Ski!F4+Fotball!F4+Sykkel!F4+'G &amp; T'!F4+Hovedlaget!F4+Anlegg!F4+Prestmarka!F4+Blilie!F4</f>
        <v>78674.600000000006</v>
      </c>
      <c r="Y5" s="161">
        <f>'Turn '!E4+Ski!E4+Fotball!E4+Sykkel!E4+'G &amp; T'!E4+Hovedlaget!E4+Anlegg!E4+Blilie!E4+Prestmarka!E4</f>
        <v>78566</v>
      </c>
      <c r="Z5" s="161">
        <f>C5+F5+I5+L5+O5+R5+U5</f>
        <v>62053</v>
      </c>
      <c r="AA5" s="264">
        <f>'Turn '!J4+Ski!J4+Fotball!J4+Sykkel!J4+'G &amp; T'!J4+TKD!E4+Hovedlaget!J4+Anlegg!J4+Prestmarka!J4+Blilie!J4</f>
        <v>75000</v>
      </c>
      <c r="AB5" s="242">
        <f>D5+G5+J5+M5+P5+S5+V5</f>
        <v>61658</v>
      </c>
      <c r="AC5" s="274">
        <f>E5+H5+K5+N5+Q5+T5+W5</f>
        <v>78000</v>
      </c>
      <c r="AE5" s="4">
        <f>AB5-AA5</f>
        <v>-13342</v>
      </c>
      <c r="AF5" s="4"/>
      <c r="AG5" s="4">
        <f t="shared" ref="AG5:AG13" si="0">AB5-Z5</f>
        <v>-395</v>
      </c>
      <c r="AH5" s="230">
        <f>Z5/Z$19</f>
        <v>4.4884680266870182E-2</v>
      </c>
      <c r="AI5" s="230">
        <f>AB5/AB$19</f>
        <v>4.6958488180086688E-2</v>
      </c>
      <c r="AJ5" s="230">
        <f>AC5/AC$19</f>
        <v>6.0913705583756347E-2</v>
      </c>
    </row>
    <row r="6" spans="1:36" ht="19.25" customHeight="1" x14ac:dyDescent="0.2">
      <c r="A6" s="9">
        <v>3115</v>
      </c>
      <c r="B6" s="9" t="s">
        <v>3</v>
      </c>
      <c r="C6" s="119">
        <f>'Turn '!H5</f>
        <v>0</v>
      </c>
      <c r="D6" s="119">
        <f>'Turn '!K5</f>
        <v>0</v>
      </c>
      <c r="E6" s="119">
        <f>'Turn '!L5</f>
        <v>0</v>
      </c>
      <c r="F6" s="119">
        <f>Ski!H5</f>
        <v>0</v>
      </c>
      <c r="G6" s="119">
        <f>Ski!K5</f>
        <v>0</v>
      </c>
      <c r="H6" s="119">
        <f>Ski!L5</f>
        <v>0</v>
      </c>
      <c r="I6" s="119">
        <f>Fotball!I5</f>
        <v>0</v>
      </c>
      <c r="J6" s="119">
        <f>Fotball!K5</f>
        <v>9629</v>
      </c>
      <c r="K6" s="119">
        <f>Fotball!L5</f>
        <v>0</v>
      </c>
      <c r="L6" s="119">
        <f>Sykkel!H5</f>
        <v>0</v>
      </c>
      <c r="M6" s="119">
        <f>Sykkel!K5</f>
        <v>0</v>
      </c>
      <c r="N6" s="119">
        <f>Sykkel!L5</f>
        <v>0</v>
      </c>
      <c r="O6" s="119">
        <f>'G &amp; T'!H5</f>
        <v>0</v>
      </c>
      <c r="P6" s="119">
        <f>'G &amp; T'!K5</f>
        <v>0</v>
      </c>
      <c r="Q6" s="119">
        <f>'G &amp; T'!L5</f>
        <v>0</v>
      </c>
      <c r="R6" s="119">
        <f>TKD!D5</f>
        <v>0</v>
      </c>
      <c r="S6" s="119">
        <f>TKD!F5</f>
        <v>0</v>
      </c>
      <c r="T6" s="119">
        <f>TKD!G5</f>
        <v>0</v>
      </c>
      <c r="U6" s="119">
        <f>Hovedlaget!H5+Anlegg!H5+Prestmarka!H5+Blilie!H5</f>
        <v>0</v>
      </c>
      <c r="V6" s="119">
        <f>Hovedlaget!K5+Anlegg!K5+Prestmarka!K5+Blilie!K5</f>
        <v>0</v>
      </c>
      <c r="W6" s="251">
        <f>Hovedlaget!L5+Anlegg!L5+Prestmarka!L5+Blilie!L5</f>
        <v>0</v>
      </c>
      <c r="X6" s="263">
        <f>'Turn '!F5+Ski!F5+Fotball!F5+Sykkel!F5+'G &amp; T'!F5+Hovedlaget!F5+Anlegg!F5+Prestmarka!F5+Blilie!F5</f>
        <v>0</v>
      </c>
      <c r="Y6" s="161">
        <f>'Turn '!E5+Ski!E5+Fotball!E5+Sykkel!E5+'G &amp; T'!E5+Hovedlaget!E5+Anlegg!E5+Blilie!E5+Prestmarka!E5</f>
        <v>0</v>
      </c>
      <c r="Z6" s="161">
        <f t="shared" ref="Z6:Z18" si="1">C6+F6+I6+L6+O6+R6+U6</f>
        <v>0</v>
      </c>
      <c r="AA6" s="264">
        <f>'Turn '!J5+Ski!J5+Fotball!J5+Sykkel!J5+'G &amp; T'!J5+TKD!E5+Hovedlaget!J5+Anlegg!J5+Prestmarka!J5+Blilie!J5</f>
        <v>0</v>
      </c>
      <c r="AB6" s="242">
        <f t="shared" ref="AB6:AB18" si="2">D6+G6+J6+M6+P6+S6+V6</f>
        <v>9629</v>
      </c>
      <c r="AC6" s="274">
        <f t="shared" ref="AC6:AC18" si="3">E6+H6+K6+N6+Q6+T6+W6</f>
        <v>0</v>
      </c>
      <c r="AE6" s="4">
        <f t="shared" ref="AE6:AE18" si="4">AB6-AA6</f>
        <v>9629</v>
      </c>
      <c r="AF6" s="4"/>
      <c r="AG6" s="4">
        <f t="shared" si="0"/>
        <v>9629</v>
      </c>
      <c r="AH6" s="230">
        <f t="shared" ref="AH6:AH18" si="5">Z6/Z$19</f>
        <v>0</v>
      </c>
      <c r="AI6" s="230">
        <f t="shared" ref="AI6:AJ18" si="6">AB6/AB$19</f>
        <v>7.333408198223341E-3</v>
      </c>
      <c r="AJ6" s="230">
        <f t="shared" si="6"/>
        <v>0</v>
      </c>
    </row>
    <row r="7" spans="1:36" ht="19.25" customHeight="1" x14ac:dyDescent="0.2">
      <c r="A7" s="9">
        <v>3400</v>
      </c>
      <c r="B7" s="9" t="s">
        <v>4</v>
      </c>
      <c r="C7" s="119">
        <f>'Turn '!H6</f>
        <v>50987</v>
      </c>
      <c r="D7" s="119">
        <f>'Turn '!K6</f>
        <v>34930</v>
      </c>
      <c r="E7" s="119">
        <f>'Turn '!L6</f>
        <v>35000</v>
      </c>
      <c r="F7" s="119">
        <f>Ski!H6</f>
        <v>27832</v>
      </c>
      <c r="G7" s="119">
        <f>Ski!K6</f>
        <v>28366</v>
      </c>
      <c r="H7" s="119">
        <f>Ski!L6</f>
        <v>20000</v>
      </c>
      <c r="I7" s="119">
        <f>Fotball!I6</f>
        <v>71000</v>
      </c>
      <c r="J7" s="119">
        <f>Fotball!K6</f>
        <v>62599</v>
      </c>
      <c r="K7" s="119">
        <f>Fotball!L6</f>
        <v>50000</v>
      </c>
      <c r="L7" s="119">
        <f>Sykkel!H6</f>
        <v>0</v>
      </c>
      <c r="M7" s="119">
        <f>Sykkel!K6</f>
        <v>0</v>
      </c>
      <c r="N7" s="119">
        <f>Sykkel!L6</f>
        <v>0</v>
      </c>
      <c r="O7" s="119">
        <f>'G &amp; T'!H6</f>
        <v>0</v>
      </c>
      <c r="P7" s="119">
        <f>'G &amp; T'!K6</f>
        <v>0</v>
      </c>
      <c r="Q7" s="119">
        <f>'G &amp; T'!L6</f>
        <v>0</v>
      </c>
      <c r="R7" s="119">
        <f>TKD!D6</f>
        <v>0</v>
      </c>
      <c r="S7" s="119">
        <f>TKD!F6</f>
        <v>6106</v>
      </c>
      <c r="T7" s="119">
        <f>TKD!G6</f>
        <v>0</v>
      </c>
      <c r="U7" s="119">
        <f>Hovedlaget!H6+Anlegg!H6+Prestmarka!H6+Blilie!H6</f>
        <v>157688</v>
      </c>
      <c r="V7" s="119">
        <f>Hovedlaget!K6+Anlegg!K6+Prestmarka!K6+Blilie!K6</f>
        <v>156300</v>
      </c>
      <c r="W7" s="251">
        <f>Hovedlaget!L6+Anlegg!L6+Prestmarka!L6+Blilie!L6</f>
        <v>180000</v>
      </c>
      <c r="X7" s="263">
        <f>'Turn '!F6+Ski!F6+Fotball!F6+Sykkel!F6+'G &amp; T'!F6+Hovedlaget!F6+Anlegg!F6+Prestmarka!F6+Blilie!F6</f>
        <v>479350</v>
      </c>
      <c r="Y7" s="161">
        <f>'Turn '!E6+Ski!E6+Fotball!E6+Sykkel!E6+'G &amp; T'!E6+Hovedlaget!E6+Anlegg!E6+Blilie!E6+Prestmarka!E6</f>
        <v>287250</v>
      </c>
      <c r="Z7" s="161">
        <f t="shared" si="1"/>
        <v>307507</v>
      </c>
      <c r="AA7" s="264">
        <f>'Turn '!J6+Ski!J6+Fotball!J6+Sykkel!J6+'G &amp; T'!J6+TKD!E6+Hovedlaget!J6+Anlegg!J6+Prestmarka!J6+Blilie!J6</f>
        <v>275300</v>
      </c>
      <c r="AB7" s="242">
        <f t="shared" si="2"/>
        <v>288301</v>
      </c>
      <c r="AC7" s="274">
        <f t="shared" si="3"/>
        <v>285000</v>
      </c>
      <c r="AE7" s="4">
        <f t="shared" si="4"/>
        <v>13001</v>
      </c>
      <c r="AF7" s="4"/>
      <c r="AG7" s="4">
        <f t="shared" si="0"/>
        <v>-19206</v>
      </c>
      <c r="AH7" s="230">
        <f t="shared" si="5"/>
        <v>0.22242846235998981</v>
      </c>
      <c r="AI7" s="230">
        <f t="shared" si="6"/>
        <v>0.21956889780413205</v>
      </c>
      <c r="AJ7" s="230">
        <f t="shared" si="6"/>
        <v>0.22256930886372511</v>
      </c>
    </row>
    <row r="8" spans="1:36" ht="19.25" customHeight="1" x14ac:dyDescent="0.2">
      <c r="A8" s="9">
        <v>3440</v>
      </c>
      <c r="B8" s="9" t="s">
        <v>55</v>
      </c>
      <c r="C8" s="119">
        <f>'Turn '!H7</f>
        <v>0</v>
      </c>
      <c r="D8" s="119">
        <f>'Turn '!K7</f>
        <v>0</v>
      </c>
      <c r="E8" s="119">
        <f>'Turn '!L7</f>
        <v>0</v>
      </c>
      <c r="F8" s="119">
        <f>Ski!H7</f>
        <v>0</v>
      </c>
      <c r="G8" s="119">
        <f>Ski!K7</f>
        <v>0</v>
      </c>
      <c r="H8" s="119">
        <f>Ski!L7</f>
        <v>0</v>
      </c>
      <c r="I8" s="119">
        <f>Fotball!I7</f>
        <v>0</v>
      </c>
      <c r="J8" s="119">
        <f>Fotball!K7</f>
        <v>0</v>
      </c>
      <c r="K8" s="119">
        <f>Fotball!L7</f>
        <v>0</v>
      </c>
      <c r="L8" s="119">
        <f>Sykkel!H7</f>
        <v>0</v>
      </c>
      <c r="M8" s="119">
        <f>Sykkel!K7</f>
        <v>0</v>
      </c>
      <c r="N8" s="119">
        <f>Sykkel!L7</f>
        <v>0</v>
      </c>
      <c r="O8" s="119">
        <f>'G &amp; T'!H7</f>
        <v>0</v>
      </c>
      <c r="P8" s="119">
        <f>'G &amp; T'!K7</f>
        <v>0</v>
      </c>
      <c r="Q8" s="119">
        <f>'G &amp; T'!L7</f>
        <v>0</v>
      </c>
      <c r="R8" s="119">
        <f>TKD!D7</f>
        <v>0</v>
      </c>
      <c r="S8" s="119">
        <f>TKD!F7</f>
        <v>0</v>
      </c>
      <c r="T8" s="119">
        <f>TKD!G7</f>
        <v>0</v>
      </c>
      <c r="U8" s="119">
        <f>Hovedlaget!H7+Anlegg!H7+Prestmarka!H7+Blilie!H7</f>
        <v>8107.48</v>
      </c>
      <c r="V8" s="119">
        <f>Hovedlaget!K7+Anlegg!K7+Prestmarka!K7+Blilie!K7</f>
        <v>8252</v>
      </c>
      <c r="W8" s="251">
        <f>Hovedlaget!L7+Anlegg!L7+Prestmarka!L7+Blilie!L7</f>
        <v>8000</v>
      </c>
      <c r="X8" s="263">
        <f>'Turn '!F7+Ski!F7+Fotball!F7+Sykkel!F7+'G &amp; T'!F7+Hovedlaget!F7+Anlegg!F7+Prestmarka!F7+Blilie!F7</f>
        <v>6184.51</v>
      </c>
      <c r="Y8" s="161">
        <f>'Turn '!E7+Ski!E7+Fotball!E7+Sykkel!E7+'G &amp; T'!E7+Hovedlaget!E7+Anlegg!E7+Blilie!E7+Prestmarka!E7</f>
        <v>5397</v>
      </c>
      <c r="Z8" s="161">
        <f t="shared" si="1"/>
        <v>8107.48</v>
      </c>
      <c r="AA8" s="264">
        <f>'Turn '!J7+Ski!J7+Fotball!J7+Sykkel!J7+'G &amp; T'!J7+TKD!E7+Hovedlaget!J7+Anlegg!J7+Prestmarka!J7+Blilie!J7</f>
        <v>8500</v>
      </c>
      <c r="AB8" s="242">
        <f t="shared" si="2"/>
        <v>8252</v>
      </c>
      <c r="AC8" s="274">
        <f t="shared" si="3"/>
        <v>8000</v>
      </c>
      <c r="AE8" s="4">
        <f t="shared" si="4"/>
        <v>-248</v>
      </c>
      <c r="AF8" s="4"/>
      <c r="AG8" s="4">
        <f t="shared" si="0"/>
        <v>144.52000000000044</v>
      </c>
      <c r="AH8" s="230">
        <f t="shared" si="5"/>
        <v>5.8643683233694519E-3</v>
      </c>
      <c r="AI8" s="230">
        <f t="shared" si="6"/>
        <v>6.2846904612876738E-3</v>
      </c>
      <c r="AJ8" s="230">
        <f t="shared" si="6"/>
        <v>6.247559547051933E-3</v>
      </c>
    </row>
    <row r="9" spans="1:36" ht="19.25" customHeight="1" x14ac:dyDescent="0.2">
      <c r="A9" s="9">
        <v>3605</v>
      </c>
      <c r="B9" s="9" t="s">
        <v>89</v>
      </c>
      <c r="C9" s="119">
        <f>'Turn '!H8</f>
        <v>0</v>
      </c>
      <c r="D9" s="119">
        <f>'Turn '!K8</f>
        <v>0</v>
      </c>
      <c r="E9" s="119">
        <f>'Turn '!L8</f>
        <v>0</v>
      </c>
      <c r="F9" s="119">
        <f>Ski!H8</f>
        <v>0</v>
      </c>
      <c r="G9" s="119">
        <f>Ski!K8</f>
        <v>0</v>
      </c>
      <c r="H9" s="119">
        <f>Ski!L8</f>
        <v>0</v>
      </c>
      <c r="I9" s="119">
        <f>Fotball!I8</f>
        <v>0</v>
      </c>
      <c r="J9" s="119">
        <f>Fotball!K8</f>
        <v>0</v>
      </c>
      <c r="K9" s="119">
        <f>Fotball!L8</f>
        <v>0</v>
      </c>
      <c r="L9" s="119">
        <f>Sykkel!H8</f>
        <v>0</v>
      </c>
      <c r="M9" s="119">
        <f>Sykkel!K8</f>
        <v>0</v>
      </c>
      <c r="N9" s="119">
        <f>Sykkel!L8</f>
        <v>0</v>
      </c>
      <c r="O9" s="119">
        <f>'G &amp; T'!H8</f>
        <v>0</v>
      </c>
      <c r="P9" s="119">
        <f>'G &amp; T'!K8</f>
        <v>0</v>
      </c>
      <c r="Q9" s="119">
        <f>'G &amp; T'!L8</f>
        <v>0</v>
      </c>
      <c r="R9" s="119">
        <f>TKD!D8</f>
        <v>0</v>
      </c>
      <c r="S9" s="119">
        <f>TKD!F8</f>
        <v>0</v>
      </c>
      <c r="T9" s="119">
        <f>TKD!G8</f>
        <v>0</v>
      </c>
      <c r="U9" s="119">
        <f>Hovedlaget!H8+Anlegg!H8+Prestmarka!H8+Blilie!H8</f>
        <v>9450</v>
      </c>
      <c r="V9" s="119">
        <f>Hovedlaget!K8+Anlegg!K8+Prestmarka!K8+Blilie!K8</f>
        <v>8400</v>
      </c>
      <c r="W9" s="251">
        <f>Hovedlaget!L8+Anlegg!L8+Prestmarka!L8+Blilie!L8</f>
        <v>12000</v>
      </c>
      <c r="X9" s="263">
        <f>'Turn '!F8+Ski!F8+Fotball!F8+Sykkel!F8+'G &amp; T'!F8+Hovedlaget!F8+Anlegg!F8+Prestmarka!F8+Blilie!F8</f>
        <v>13450</v>
      </c>
      <c r="Y9" s="161">
        <f>'Turn '!E8+Ski!E8+Fotball!E8+Sykkel!E8+'G &amp; T'!E8+Hovedlaget!E8+Anlegg!E8+Blilie!E8+Prestmarka!E8</f>
        <v>23300</v>
      </c>
      <c r="Z9" s="161">
        <f t="shared" si="1"/>
        <v>9450</v>
      </c>
      <c r="AA9" s="264">
        <f>'Turn '!J8+Ski!J8+Fotball!J8+Sykkel!J8+'G &amp; T'!J8+TKD!E8+Hovedlaget!J8+Anlegg!J8+Prestmarka!J8+Blilie!J8</f>
        <v>10000</v>
      </c>
      <c r="AB9" s="242">
        <f t="shared" si="2"/>
        <v>8400</v>
      </c>
      <c r="AC9" s="274">
        <f t="shared" si="3"/>
        <v>12000</v>
      </c>
      <c r="AE9" s="4">
        <f t="shared" si="4"/>
        <v>-1600</v>
      </c>
      <c r="AF9" s="4"/>
      <c r="AG9" s="4">
        <f t="shared" si="0"/>
        <v>-1050</v>
      </c>
      <c r="AH9" s="230">
        <f t="shared" si="5"/>
        <v>6.8354508004757741E-3</v>
      </c>
      <c r="AI9" s="230">
        <f t="shared" si="6"/>
        <v>6.3974066741173605E-3</v>
      </c>
      <c r="AJ9" s="230">
        <f t="shared" si="6"/>
        <v>9.3713393205778987E-3</v>
      </c>
    </row>
    <row r="10" spans="1:36" ht="19.25" customHeight="1" x14ac:dyDescent="0.2">
      <c r="A10" s="9">
        <v>3620</v>
      </c>
      <c r="B10" s="11" t="s">
        <v>98</v>
      </c>
      <c r="C10" s="119">
        <f>'Turn '!H9</f>
        <v>0</v>
      </c>
      <c r="D10" s="119">
        <f>'Turn '!K9</f>
        <v>0</v>
      </c>
      <c r="E10" s="119">
        <f>'Turn '!L9</f>
        <v>9000</v>
      </c>
      <c r="F10" s="119">
        <f>Ski!H9</f>
        <v>0</v>
      </c>
      <c r="G10" s="119">
        <f>Ski!K9</f>
        <v>0</v>
      </c>
      <c r="H10" s="119">
        <f>Ski!L9</f>
        <v>0</v>
      </c>
      <c r="I10" s="119">
        <f>Fotball!I9</f>
        <v>0</v>
      </c>
      <c r="J10" s="119">
        <f>Fotball!K9</f>
        <v>0</v>
      </c>
      <c r="K10" s="119">
        <f>Fotball!L9</f>
        <v>0</v>
      </c>
      <c r="L10" s="119">
        <f>Sykkel!H9</f>
        <v>0</v>
      </c>
      <c r="M10" s="119">
        <f>Sykkel!K9</f>
        <v>0</v>
      </c>
      <c r="N10" s="119">
        <f>Sykkel!L9</f>
        <v>0</v>
      </c>
      <c r="O10" s="119">
        <f>'G &amp; T'!H9</f>
        <v>0</v>
      </c>
      <c r="P10" s="119">
        <f>'G &amp; T'!K9</f>
        <v>0</v>
      </c>
      <c r="Q10" s="119">
        <f>'G &amp; T'!L9</f>
        <v>0</v>
      </c>
      <c r="R10" s="119">
        <f>TKD!D9</f>
        <v>0</v>
      </c>
      <c r="S10" s="119">
        <f>TKD!F9</f>
        <v>0</v>
      </c>
      <c r="T10" s="119">
        <f>TKD!G9</f>
        <v>0</v>
      </c>
      <c r="U10" s="119">
        <f>Hovedlaget!H9+Anlegg!H9+Prestmarka!H9+Blilie!H9</f>
        <v>0</v>
      </c>
      <c r="V10" s="119">
        <f>Hovedlaget!K9+Anlegg!K9+Prestmarka!K9+Blilie!K9</f>
        <v>1107</v>
      </c>
      <c r="W10" s="251">
        <f>Hovedlaget!L9+Anlegg!L9+Prestmarka!L9+Blilie!L9</f>
        <v>0</v>
      </c>
      <c r="X10" s="263">
        <f>'Turn '!F9+Ski!F9+Fotball!F9+Sykkel!F9+'G &amp; T'!F9+Hovedlaget!F9+Anlegg!F9+Prestmarka!F9+Blilie!F9</f>
        <v>0</v>
      </c>
      <c r="Y10" s="161">
        <f>'Turn '!E9+Ski!E9+Fotball!E9+Sykkel!E9+'G &amp; T'!E9+Hovedlaget!E9+Anlegg!E9+Blilie!E9+Prestmarka!E9</f>
        <v>222750</v>
      </c>
      <c r="Z10" s="161">
        <f t="shared" si="1"/>
        <v>0</v>
      </c>
      <c r="AA10" s="264">
        <f>'Turn '!J9+Ski!J9+Fotball!J9+Sykkel!J9+'G &amp; T'!J9+TKD!E9+Hovedlaget!J9+Anlegg!J9+Prestmarka!J9+Blilie!J9</f>
        <v>0</v>
      </c>
      <c r="AB10" s="242">
        <f t="shared" si="2"/>
        <v>1107</v>
      </c>
      <c r="AC10" s="274">
        <f t="shared" si="3"/>
        <v>9000</v>
      </c>
      <c r="AE10" s="4">
        <f t="shared" si="4"/>
        <v>1107</v>
      </c>
      <c r="AF10" s="4"/>
      <c r="AG10" s="4">
        <f t="shared" si="0"/>
        <v>1107</v>
      </c>
      <c r="AH10" s="230">
        <f t="shared" si="5"/>
        <v>0</v>
      </c>
      <c r="AI10" s="230">
        <f t="shared" si="6"/>
        <v>8.4308680812475217E-4</v>
      </c>
      <c r="AJ10" s="230">
        <f t="shared" si="6"/>
        <v>7.0285044904334244E-3</v>
      </c>
    </row>
    <row r="11" spans="1:36" ht="19.25" customHeight="1" x14ac:dyDescent="0.2">
      <c r="A11" s="9">
        <v>3920</v>
      </c>
      <c r="B11" s="9" t="s">
        <v>123</v>
      </c>
      <c r="C11" s="119">
        <f>'Turn '!H10</f>
        <v>0</v>
      </c>
      <c r="D11" s="119">
        <f>'Turn '!K10</f>
        <v>0</v>
      </c>
      <c r="E11" s="119">
        <f>'Turn '!L10</f>
        <v>0</v>
      </c>
      <c r="F11" s="119">
        <f>Ski!H10</f>
        <v>0</v>
      </c>
      <c r="G11" s="119">
        <f>Ski!K10</f>
        <v>0.5</v>
      </c>
      <c r="H11" s="119">
        <f>Ski!L10</f>
        <v>0</v>
      </c>
      <c r="I11" s="119">
        <f>Fotball!I10</f>
        <v>0</v>
      </c>
      <c r="J11" s="119">
        <f>Fotball!K10</f>
        <v>0</v>
      </c>
      <c r="K11" s="119">
        <f>Fotball!L10</f>
        <v>0</v>
      </c>
      <c r="L11" s="119">
        <f>Sykkel!H10</f>
        <v>0</v>
      </c>
      <c r="M11" s="119">
        <f>Sykkel!K10</f>
        <v>0</v>
      </c>
      <c r="N11" s="119">
        <f>Sykkel!L10</f>
        <v>0</v>
      </c>
      <c r="O11" s="119">
        <f>'G &amp; T'!H10</f>
        <v>0</v>
      </c>
      <c r="P11" s="119">
        <f>'G &amp; T'!K10</f>
        <v>0</v>
      </c>
      <c r="Q11" s="119">
        <f>'G &amp; T'!L10</f>
        <v>0</v>
      </c>
      <c r="R11" s="119">
        <f>TKD!D10</f>
        <v>0</v>
      </c>
      <c r="S11" s="119">
        <f>TKD!F10</f>
        <v>0</v>
      </c>
      <c r="T11" s="119">
        <f>TKD!G10</f>
        <v>25000</v>
      </c>
      <c r="U11" s="119">
        <f>Hovedlaget!H10+Anlegg!H10+Prestmarka!H10+Blilie!H10</f>
        <v>32850</v>
      </c>
      <c r="V11" s="119">
        <f>Hovedlaget!K10+Anlegg!K10+Prestmarka!K10+Blilie!K10</f>
        <v>27900</v>
      </c>
      <c r="W11" s="251">
        <f>Hovedlaget!L10+Anlegg!L10+Prestmarka!L10+Blilie!L10</f>
        <v>30000</v>
      </c>
      <c r="X11" s="263">
        <f>'Turn '!F10+Ski!F10+Fotball!F10+Sykkel!F10+'G &amp; T'!F10+Hovedlaget!F10+Anlegg!F10+Prestmarka!F10+Blilie!F10</f>
        <v>38450</v>
      </c>
      <c r="Y11" s="161">
        <f>'Turn '!E10+Ski!E10+Fotball!E10+Sykkel!E10+'G &amp; T'!E10+Hovedlaget!E10+Anlegg!E10+Blilie!E10+Prestmarka!E10</f>
        <v>28620</v>
      </c>
      <c r="Z11" s="161">
        <f t="shared" si="1"/>
        <v>32850</v>
      </c>
      <c r="AA11" s="264">
        <f>'Turn '!J10+Ski!J10+Fotball!J10+Sykkel!J10+'G &amp; T'!J10+TKD!E10+Hovedlaget!J10+Anlegg!J10+Prestmarka!J10+Blilie!J10</f>
        <v>30000</v>
      </c>
      <c r="AB11" s="242">
        <f t="shared" si="2"/>
        <v>27900.5</v>
      </c>
      <c r="AC11" s="274">
        <f t="shared" si="3"/>
        <v>55000</v>
      </c>
      <c r="AE11" s="4">
        <f t="shared" si="4"/>
        <v>-2099.5</v>
      </c>
      <c r="AF11" s="4"/>
      <c r="AG11" s="4">
        <f t="shared" si="0"/>
        <v>-4949.5</v>
      </c>
      <c r="AH11" s="230">
        <f t="shared" si="5"/>
        <v>2.3761328973082453E-2</v>
      </c>
      <c r="AI11" s="230">
        <f t="shared" si="6"/>
        <v>2.1248910108477549E-2</v>
      </c>
      <c r="AJ11" s="230">
        <f t="shared" si="6"/>
        <v>4.2951971885982036E-2</v>
      </c>
    </row>
    <row r="12" spans="1:36" ht="19.25" customHeight="1" x14ac:dyDescent="0.2">
      <c r="A12" s="9">
        <v>3925</v>
      </c>
      <c r="B12" s="9" t="s">
        <v>7</v>
      </c>
      <c r="C12" s="119">
        <f>'Turn '!H11</f>
        <v>27500</v>
      </c>
      <c r="D12" s="119">
        <f>'Turn '!K11</f>
        <v>40000</v>
      </c>
      <c r="E12" s="119">
        <f>'Turn '!L11</f>
        <v>37500</v>
      </c>
      <c r="F12" s="119">
        <f>Ski!H11</f>
        <v>8550</v>
      </c>
      <c r="G12" s="119">
        <f>Ski!K11</f>
        <v>8800.5</v>
      </c>
      <c r="H12" s="119">
        <f>Ski!L11</f>
        <v>8000</v>
      </c>
      <c r="I12" s="119">
        <f>Fotball!I11</f>
        <v>219900</v>
      </c>
      <c r="J12" s="119">
        <f>Fotball!K11</f>
        <v>158400</v>
      </c>
      <c r="K12" s="119">
        <f>Fotball!L11</f>
        <v>240000</v>
      </c>
      <c r="L12" s="119">
        <f>Sykkel!H11</f>
        <v>0</v>
      </c>
      <c r="M12" s="119">
        <f>Sykkel!K11</f>
        <v>0</v>
      </c>
      <c r="N12" s="119">
        <f>Sykkel!L11</f>
        <v>0</v>
      </c>
      <c r="O12" s="119">
        <f>'G &amp; T'!H11</f>
        <v>0</v>
      </c>
      <c r="P12" s="119">
        <f>'G &amp; T'!K11</f>
        <v>0</v>
      </c>
      <c r="Q12" s="119">
        <f>'G &amp; T'!L11</f>
        <v>0</v>
      </c>
      <c r="R12" s="119">
        <f>TKD!D11</f>
        <v>12000</v>
      </c>
      <c r="S12" s="119">
        <f>TKD!F11</f>
        <v>25900</v>
      </c>
      <c r="T12" s="119">
        <f>TKD!G11</f>
        <v>0</v>
      </c>
      <c r="U12" s="119">
        <f>Hovedlaget!H11+Anlegg!H11+Prestmarka!H11+Blilie!H11</f>
        <v>0</v>
      </c>
      <c r="V12" s="119">
        <f>Hovedlaget!K11+Anlegg!K11+Prestmarka!K11+Blilie!K11</f>
        <v>0</v>
      </c>
      <c r="W12" s="252">
        <f>Hovedlaget!L11+Anlegg!L11+Prestmarka!L11+Blilie!L11</f>
        <v>-50000</v>
      </c>
      <c r="X12" s="263">
        <f>'Turn '!F11+Ski!F11+Fotball!F11+Sykkel!F11+'G &amp; T'!F11+Hovedlaget!F11+Anlegg!F11+Prestmarka!F11+Blilie!F11</f>
        <v>281008</v>
      </c>
      <c r="Y12" s="161">
        <f>'Turn '!E11+Ski!E11+Fotball!E11+Sykkel!E11+'G &amp; T'!E11+Hovedlaget!E11+Anlegg!E11+Blilie!E11+Prestmarka!E11</f>
        <v>204000</v>
      </c>
      <c r="Z12" s="161">
        <f t="shared" si="1"/>
        <v>267950</v>
      </c>
      <c r="AA12" s="264">
        <f>'Turn '!J11+Ski!J11+Fotball!J11+Sykkel!J11+'G &amp; T'!J11+TKD!E11+Hovedlaget!J11+Anlegg!J11+Prestmarka!J11+Blilie!J11</f>
        <v>226250</v>
      </c>
      <c r="AB12" s="242">
        <f t="shared" si="2"/>
        <v>233100.5</v>
      </c>
      <c r="AC12" s="274">
        <f t="shared" si="3"/>
        <v>235500</v>
      </c>
      <c r="AE12" s="4">
        <f t="shared" si="4"/>
        <v>6850.5</v>
      </c>
      <c r="AF12" s="4"/>
      <c r="AG12" s="4">
        <f t="shared" si="0"/>
        <v>-34849.5</v>
      </c>
      <c r="AH12" s="230">
        <f t="shared" si="5"/>
        <v>0.19381577163888716</v>
      </c>
      <c r="AI12" s="230">
        <f t="shared" si="6"/>
        <v>0.17752841600477307</v>
      </c>
      <c r="AJ12" s="230">
        <f t="shared" si="6"/>
        <v>0.18391253416634126</v>
      </c>
    </row>
    <row r="13" spans="1:36" ht="19.25" customHeight="1" x14ac:dyDescent="0.2">
      <c r="A13" s="9">
        <v>3926</v>
      </c>
      <c r="B13" s="9" t="s">
        <v>13</v>
      </c>
      <c r="C13" s="119">
        <f>'Turn '!H12</f>
        <v>0</v>
      </c>
      <c r="D13" s="119">
        <f>'Turn '!K12</f>
        <v>0</v>
      </c>
      <c r="E13" s="119">
        <f>'Turn '!L12</f>
        <v>0</v>
      </c>
      <c r="F13" s="119">
        <f>Ski!H12</f>
        <v>0</v>
      </c>
      <c r="G13" s="119">
        <f>Ski!K12</f>
        <v>0</v>
      </c>
      <c r="H13" s="119">
        <f>Ski!L12</f>
        <v>0</v>
      </c>
      <c r="I13" s="119">
        <f>Fotball!I12</f>
        <v>0</v>
      </c>
      <c r="J13" s="119">
        <f>Fotball!K12</f>
        <v>0</v>
      </c>
      <c r="K13" s="119">
        <f>Fotball!L12</f>
        <v>0</v>
      </c>
      <c r="L13" s="119">
        <f>Sykkel!H12</f>
        <v>0</v>
      </c>
      <c r="M13" s="119">
        <f>Sykkel!K12</f>
        <v>0</v>
      </c>
      <c r="N13" s="119">
        <f>Sykkel!L12</f>
        <v>0</v>
      </c>
      <c r="O13" s="119">
        <f>'G &amp; T'!H12</f>
        <v>0</v>
      </c>
      <c r="P13" s="119">
        <f>'G &amp; T'!K12</f>
        <v>0</v>
      </c>
      <c r="Q13" s="119">
        <f>'G &amp; T'!L12</f>
        <v>0</v>
      </c>
      <c r="R13" s="119">
        <f>TKD!D12</f>
        <v>0</v>
      </c>
      <c r="S13" s="119">
        <f>TKD!F12</f>
        <v>0</v>
      </c>
      <c r="T13" s="119">
        <f>TKD!G12</f>
        <v>2000</v>
      </c>
      <c r="U13" s="119">
        <f>Hovedlaget!H12+Anlegg!H12+Prestmarka!H12+Blilie!H12</f>
        <v>97413</v>
      </c>
      <c r="V13" s="119">
        <f>Hovedlaget!K12+Anlegg!K12+Prestmarka!K12+Blilie!K12</f>
        <v>63776</v>
      </c>
      <c r="W13" s="251">
        <f>Hovedlaget!L12+Anlegg!L12+Prestmarka!L12+Blilie!L12</f>
        <v>60000</v>
      </c>
      <c r="X13" s="263">
        <f>'Turn '!F12+Ski!F12+Fotball!F12+Sykkel!F12+'G &amp; T'!F12+Hovedlaget!F12+Anlegg!F12+Prestmarka!F12+Blilie!F12</f>
        <v>69198</v>
      </c>
      <c r="Y13" s="161">
        <f>'Turn '!E12+Ski!E12+Fotball!E12+Sykkel!E12+'G &amp; T'!E12+Hovedlaget!E12+Anlegg!E12+Blilie!E12+Prestmarka!E12</f>
        <v>62202</v>
      </c>
      <c r="Z13" s="161">
        <f t="shared" si="1"/>
        <v>97413</v>
      </c>
      <c r="AA13" s="264">
        <f>'Turn '!J12+Ski!J12+Fotball!J12+Sykkel!J12+'G &amp; T'!J12+TKD!E12+Hovedlaget!J12+Anlegg!J12+Prestmarka!J12+Blilie!J12</f>
        <v>58000</v>
      </c>
      <c r="AB13" s="242">
        <f t="shared" si="2"/>
        <v>63776</v>
      </c>
      <c r="AC13" s="274">
        <f t="shared" si="3"/>
        <v>62000</v>
      </c>
      <c r="AE13" s="4">
        <f t="shared" si="4"/>
        <v>5776</v>
      </c>
      <c r="AF13" s="4"/>
      <c r="AG13" s="4">
        <f t="shared" si="0"/>
        <v>-33637</v>
      </c>
      <c r="AH13" s="230">
        <f t="shared" si="5"/>
        <v>7.0461562838809152E-2</v>
      </c>
      <c r="AI13" s="230">
        <f t="shared" si="6"/>
        <v>4.8571548577203423E-2</v>
      </c>
      <c r="AJ13" s="230">
        <f t="shared" si="6"/>
        <v>4.8418586489652478E-2</v>
      </c>
    </row>
    <row r="14" spans="1:36" ht="19.25" customHeight="1" x14ac:dyDescent="0.2">
      <c r="A14" s="9">
        <v>3950</v>
      </c>
      <c r="B14" s="9" t="s">
        <v>9</v>
      </c>
      <c r="C14" s="119">
        <f>'Turn '!H13</f>
        <v>51181</v>
      </c>
      <c r="D14" s="119">
        <f>'Turn '!K13</f>
        <v>61970</v>
      </c>
      <c r="E14" s="119">
        <f>'Turn '!L13</f>
        <v>55000</v>
      </c>
      <c r="F14" s="119">
        <f>Ski!H13</f>
        <v>31850</v>
      </c>
      <c r="G14" s="119">
        <f>Ski!K13</f>
        <v>9685</v>
      </c>
      <c r="H14" s="119">
        <f>Ski!L13</f>
        <v>15000</v>
      </c>
      <c r="I14" s="119">
        <f>Fotball!I13</f>
        <v>26000</v>
      </c>
      <c r="J14" s="119">
        <f>Fotball!K13</f>
        <v>19750</v>
      </c>
      <c r="K14" s="119">
        <f>Fotball!L13</f>
        <v>20000</v>
      </c>
      <c r="L14" s="119">
        <f>Sykkel!H13</f>
        <v>0</v>
      </c>
      <c r="M14" s="119">
        <f>Sykkel!K13</f>
        <v>0</v>
      </c>
      <c r="N14" s="119">
        <f>Sykkel!L13</f>
        <v>0</v>
      </c>
      <c r="O14" s="119">
        <f>'G &amp; T'!H13</f>
        <v>0</v>
      </c>
      <c r="P14" s="119">
        <f>'G &amp; T'!K13</f>
        <v>0</v>
      </c>
      <c r="Q14" s="119">
        <f>'G &amp; T'!L13</f>
        <v>0</v>
      </c>
      <c r="R14" s="119">
        <f>TKD!D13</f>
        <v>0</v>
      </c>
      <c r="S14" s="119">
        <f>TKD!F13</f>
        <v>1500</v>
      </c>
      <c r="T14" s="119">
        <f>TKD!G13</f>
        <v>0</v>
      </c>
      <c r="U14" s="119">
        <f>Hovedlaget!H13+Anlegg!H13+Prestmarka!H13+Blilie!H13</f>
        <v>0</v>
      </c>
      <c r="V14" s="119">
        <f>Hovedlaget!K13+Anlegg!K13+Prestmarka!K13+Blilie!K13</f>
        <v>0</v>
      </c>
      <c r="W14" s="251">
        <f>Hovedlaget!L13+Anlegg!L13+Prestmarka!L13+Blilie!L13</f>
        <v>0</v>
      </c>
      <c r="X14" s="263">
        <f>'Turn '!F13+Ski!F13+Fotball!F13+Sykkel!F13+'G &amp; T'!F13+Hovedlaget!F13+Anlegg!F13+Prestmarka!F13+Blilie!F13</f>
        <v>91658</v>
      </c>
      <c r="Y14" s="161">
        <f>'Turn '!E13+Ski!E13+Fotball!E13+Sykkel!E13+'G &amp; T'!E13+Hovedlaget!E13+Anlegg!E13+Blilie!E13+Prestmarka!E13</f>
        <v>127807</v>
      </c>
      <c r="Z14" s="161">
        <f t="shared" si="1"/>
        <v>109031</v>
      </c>
      <c r="AA14" s="264">
        <f>'Turn '!J13+Ski!J13+Fotball!J13+Sykkel!J13+'G &amp; T'!J13+TKD!E13+Hovedlaget!J13+Anlegg!J13+Prestmarka!J13+Blilie!J13</f>
        <v>68400</v>
      </c>
      <c r="AB14" s="242">
        <f t="shared" si="2"/>
        <v>92905</v>
      </c>
      <c r="AC14" s="274">
        <f t="shared" si="3"/>
        <v>90000</v>
      </c>
      <c r="AE14" s="4">
        <f t="shared" si="4"/>
        <v>24505</v>
      </c>
      <c r="AF14" s="4"/>
      <c r="AG14" s="4">
        <f t="shared" ref="AG14:AG18" si="7">AB14-Z14</f>
        <v>-16126</v>
      </c>
      <c r="AH14" s="230">
        <f t="shared" si="5"/>
        <v>7.8865189018695672E-2</v>
      </c>
      <c r="AI14" s="230">
        <f t="shared" si="6"/>
        <v>7.0756079411770645E-2</v>
      </c>
      <c r="AJ14" s="230">
        <f t="shared" si="6"/>
        <v>7.0285044904334251E-2</v>
      </c>
    </row>
    <row r="15" spans="1:36" ht="19.25" customHeight="1" x14ac:dyDescent="0.2">
      <c r="A15" s="9">
        <v>3970</v>
      </c>
      <c r="B15" s="9" t="s">
        <v>10</v>
      </c>
      <c r="C15" s="119">
        <f>'Turn '!H14</f>
        <v>0</v>
      </c>
      <c r="D15" s="119">
        <f>'Turn '!K14</f>
        <v>11685</v>
      </c>
      <c r="E15" s="119">
        <f>'Turn '!L14</f>
        <v>12000</v>
      </c>
      <c r="F15" s="119">
        <f>Ski!H14</f>
        <v>0</v>
      </c>
      <c r="G15" s="119">
        <f>Ski!K14</f>
        <v>0</v>
      </c>
      <c r="H15" s="119">
        <f>Ski!L14</f>
        <v>0</v>
      </c>
      <c r="I15" s="119">
        <f>Fotball!I14</f>
        <v>21000</v>
      </c>
      <c r="J15" s="119">
        <f>Fotball!K14</f>
        <v>23663</v>
      </c>
      <c r="K15" s="119">
        <f>Fotball!L14</f>
        <v>15000</v>
      </c>
      <c r="L15" s="119">
        <f>Sykkel!H14</f>
        <v>0</v>
      </c>
      <c r="M15" s="119">
        <f>Sykkel!K14</f>
        <v>0</v>
      </c>
      <c r="N15" s="119">
        <f>Sykkel!L14</f>
        <v>0</v>
      </c>
      <c r="O15" s="119">
        <f>'G &amp; T'!H14</f>
        <v>0</v>
      </c>
      <c r="P15" s="119">
        <f>'G &amp; T'!K14</f>
        <v>0</v>
      </c>
      <c r="Q15" s="119">
        <f>'G &amp; T'!L14</f>
        <v>0</v>
      </c>
      <c r="R15" s="119">
        <f>TKD!D14</f>
        <v>0</v>
      </c>
      <c r="S15" s="119">
        <f>TKD!F14</f>
        <v>10000</v>
      </c>
      <c r="T15" s="119">
        <f>TKD!G14</f>
        <v>0</v>
      </c>
      <c r="U15" s="119">
        <f>Hovedlaget!H14+Anlegg!H14+Prestmarka!H14+Blilie!H14</f>
        <v>148817</v>
      </c>
      <c r="V15" s="119">
        <f>Hovedlaget!K14+Anlegg!K14+Prestmarka!K14+Blilie!K14</f>
        <v>130046.71</v>
      </c>
      <c r="W15" s="251">
        <f>Hovedlaget!L14+Anlegg!L14+Prestmarka!L14+Blilie!L14</f>
        <v>155000</v>
      </c>
      <c r="X15" s="263">
        <f>'Turn '!F14+Ski!F14+Fotball!F14+Sykkel!F14+'G &amp; T'!F14+Hovedlaget!F14+Anlegg!F14+Prestmarka!F14+Blilie!F14</f>
        <v>199000</v>
      </c>
      <c r="Y15" s="161">
        <f>'Turn '!E14+Ski!E14+Fotball!E14+Sykkel!E14+'G &amp; T'!E14+Hovedlaget!E14+Anlegg!E14+Blilie!E14+Prestmarka!E14</f>
        <v>124200</v>
      </c>
      <c r="Z15" s="161">
        <f t="shared" si="1"/>
        <v>169817</v>
      </c>
      <c r="AA15" s="264">
        <f>'Turn '!J14+Ski!J14+Fotball!J14+Sykkel!J14+'G &amp; T'!J14+TKD!E14+Hovedlaget!J14+Anlegg!J14+Prestmarka!J14+Blilie!J14</f>
        <v>171000</v>
      </c>
      <c r="AB15" s="242">
        <f t="shared" si="2"/>
        <v>175394.71000000002</v>
      </c>
      <c r="AC15" s="274">
        <f t="shared" si="3"/>
        <v>182000</v>
      </c>
      <c r="AE15" s="4">
        <f t="shared" si="4"/>
        <v>4394.710000000021</v>
      </c>
      <c r="AF15" s="4"/>
      <c r="AG15" s="4">
        <f t="shared" si="7"/>
        <v>5577.710000000021</v>
      </c>
      <c r="AH15" s="230">
        <f t="shared" si="5"/>
        <v>0.12283341254861317</v>
      </c>
      <c r="AI15" s="230">
        <f t="shared" si="6"/>
        <v>0.13357991528081894</v>
      </c>
      <c r="AJ15" s="230">
        <f t="shared" si="6"/>
        <v>0.14213197969543148</v>
      </c>
    </row>
    <row r="16" spans="1:36" ht="19.25" customHeight="1" x14ac:dyDescent="0.2">
      <c r="A16" s="9">
        <v>3975</v>
      </c>
      <c r="B16" s="9" t="s">
        <v>11</v>
      </c>
      <c r="C16" s="119">
        <f>'Turn '!H15</f>
        <v>-36954</v>
      </c>
      <c r="D16" s="119">
        <f>'Turn '!K15</f>
        <v>34324</v>
      </c>
      <c r="E16" s="119">
        <f>'Turn '!L15</f>
        <v>15000</v>
      </c>
      <c r="F16" s="119">
        <f>Ski!H15</f>
        <v>0</v>
      </c>
      <c r="G16" s="119">
        <f>Ski!K15</f>
        <v>0</v>
      </c>
      <c r="H16" s="119">
        <f>Ski!L15</f>
        <v>0</v>
      </c>
      <c r="I16" s="119">
        <f>Fotball!I15</f>
        <v>123500</v>
      </c>
      <c r="J16" s="119">
        <f>Fotball!K15</f>
        <v>96326</v>
      </c>
      <c r="K16" s="119">
        <f>Fotball!L15</f>
        <v>35000</v>
      </c>
      <c r="L16" s="119">
        <f>Sykkel!H15</f>
        <v>0</v>
      </c>
      <c r="M16" s="119">
        <f>Sykkel!K15</f>
        <v>0</v>
      </c>
      <c r="N16" s="119">
        <f>Sykkel!L15</f>
        <v>0</v>
      </c>
      <c r="O16" s="119">
        <f>'G &amp; T'!H15</f>
        <v>0</v>
      </c>
      <c r="P16" s="119">
        <f>'G &amp; T'!K15</f>
        <v>0</v>
      </c>
      <c r="Q16" s="119">
        <f>'G &amp; T'!L15</f>
        <v>0</v>
      </c>
      <c r="R16" s="119">
        <f>TKD!D15</f>
        <v>0</v>
      </c>
      <c r="S16" s="119">
        <f>TKD!F15</f>
        <v>0</v>
      </c>
      <c r="T16" s="119">
        <f>TKD!G15</f>
        <v>74000</v>
      </c>
      <c r="U16" s="119">
        <f>Hovedlaget!H15+Anlegg!H15+Prestmarka!H15+Blilie!H15</f>
        <v>96457</v>
      </c>
      <c r="V16" s="119">
        <f>Hovedlaget!K15+Anlegg!K15+Prestmarka!K15+Blilie!K15</f>
        <v>98842.12</v>
      </c>
      <c r="W16" s="251">
        <f>Hovedlaget!L15+Anlegg!L15+Prestmarka!L15+Blilie!L15</f>
        <v>90000</v>
      </c>
      <c r="X16" s="263">
        <f>'Turn '!F15+Ski!F15+Fotball!F15+Sykkel!F15+'G &amp; T'!F15+Hovedlaget!F15+Anlegg!F15+Prestmarka!F15+Blilie!F15</f>
        <v>716365</v>
      </c>
      <c r="Y16" s="161">
        <f>'Turn '!E15+Ski!E15+Fotball!E15+Sykkel!E15+'G &amp; T'!E15+Hovedlaget!E15+Anlegg!E15+Blilie!E15+Prestmarka!E15</f>
        <v>394701</v>
      </c>
      <c r="Z16" s="161">
        <f t="shared" si="1"/>
        <v>183003</v>
      </c>
      <c r="AA16" s="264">
        <f>'Turn '!J15+Ski!J15+Fotball!J15+Sykkel!J15+'G &amp; T'!J15+TKD!E15+Hovedlaget!J15+Anlegg!J15+Prestmarka!J15+Blilie!J15</f>
        <v>212600</v>
      </c>
      <c r="AB16" s="242">
        <f t="shared" si="2"/>
        <v>229492.12</v>
      </c>
      <c r="AC16" s="274">
        <f t="shared" si="3"/>
        <v>214000</v>
      </c>
      <c r="AE16" s="4">
        <f t="shared" si="4"/>
        <v>16892.119999999995</v>
      </c>
      <c r="AF16" s="4"/>
      <c r="AG16" s="4">
        <f t="shared" si="7"/>
        <v>46489.119999999995</v>
      </c>
      <c r="AH16" s="230">
        <f t="shared" si="5"/>
        <v>0.13237121723168974</v>
      </c>
      <c r="AI16" s="230">
        <f t="shared" si="6"/>
        <v>0.17478028811254073</v>
      </c>
      <c r="AJ16" s="230">
        <f t="shared" si="6"/>
        <v>0.16712221788363921</v>
      </c>
    </row>
    <row r="17" spans="1:36" ht="19.25" customHeight="1" x14ac:dyDescent="0.2">
      <c r="A17" s="9">
        <v>3980</v>
      </c>
      <c r="B17" s="9" t="s">
        <v>12</v>
      </c>
      <c r="C17" s="119">
        <f>'Turn '!H16</f>
        <v>14355</v>
      </c>
      <c r="D17" s="119">
        <f>'Turn '!K16</f>
        <v>17820</v>
      </c>
      <c r="E17" s="119">
        <f>'Turn '!L16</f>
        <v>0</v>
      </c>
      <c r="F17" s="119">
        <f>Ski!H16</f>
        <v>0</v>
      </c>
      <c r="G17" s="119">
        <f>Ski!K16</f>
        <v>0</v>
      </c>
      <c r="H17" s="119">
        <f>Ski!L16</f>
        <v>0</v>
      </c>
      <c r="I17" s="119">
        <f>Fotball!I16</f>
        <v>0</v>
      </c>
      <c r="J17" s="119">
        <f>Fotball!K16</f>
        <v>0</v>
      </c>
      <c r="K17" s="119">
        <f>Fotball!L16</f>
        <v>0</v>
      </c>
      <c r="L17" s="119">
        <f>Sykkel!H16</f>
        <v>0</v>
      </c>
      <c r="M17" s="119">
        <f>Sykkel!K16</f>
        <v>0</v>
      </c>
      <c r="N17" s="119">
        <f>Sykkel!L16</f>
        <v>0</v>
      </c>
      <c r="O17" s="119">
        <f>'G &amp; T'!H16</f>
        <v>0</v>
      </c>
      <c r="P17" s="119">
        <f>'G &amp; T'!K16</f>
        <v>0</v>
      </c>
      <c r="Q17" s="119">
        <f>'G &amp; T'!L16</f>
        <v>0</v>
      </c>
      <c r="R17" s="119">
        <f>TKD!D16</f>
        <v>0</v>
      </c>
      <c r="S17" s="119">
        <f>TKD!F16</f>
        <v>0</v>
      </c>
      <c r="T17" s="119">
        <f>TKD!G16</f>
        <v>0</v>
      </c>
      <c r="U17" s="119">
        <f>Hovedlaget!H16+Anlegg!H16+Prestmarka!H16+Blilie!H16</f>
        <v>59697</v>
      </c>
      <c r="V17" s="119">
        <f>Hovedlaget!K16+Anlegg!K16+Prestmarka!K16+Blilie!K16</f>
        <v>13300</v>
      </c>
      <c r="W17" s="251">
        <f>Hovedlaget!L16+Anlegg!L16+Prestmarka!L16+Blilie!L16</f>
        <v>0</v>
      </c>
      <c r="X17" s="263">
        <f>'Turn '!F16+Ski!F16+Fotball!F16+Sykkel!F16+'G &amp; T'!F16+Hovedlaget!F16+Anlegg!F16+Prestmarka!F16+Blilie!F16</f>
        <v>14654</v>
      </c>
      <c r="Y17" s="161">
        <f>'Turn '!E16+Ski!E16+Fotball!E16+Sykkel!E16+'G &amp; T'!E16+Hovedlaget!E16+Anlegg!E16+Blilie!E16+Prestmarka!E16</f>
        <v>1406</v>
      </c>
      <c r="Z17" s="161">
        <f t="shared" si="1"/>
        <v>74052</v>
      </c>
      <c r="AA17" s="264">
        <f>'Turn '!J16+Ski!J16+Fotball!J16+Sykkel!J16+'G &amp; T'!J16+TKD!E16+Hovedlaget!J16+Anlegg!J16+Prestmarka!J16+Blilie!J16</f>
        <v>0</v>
      </c>
      <c r="AB17" s="242">
        <f t="shared" si="2"/>
        <v>31120</v>
      </c>
      <c r="AC17" s="274">
        <f t="shared" si="3"/>
        <v>0</v>
      </c>
      <c r="AE17" s="4">
        <f t="shared" si="4"/>
        <v>31120</v>
      </c>
      <c r="AF17" s="4"/>
      <c r="AG17" s="4">
        <f t="shared" si="7"/>
        <v>-42932</v>
      </c>
      <c r="AH17" s="230">
        <f t="shared" si="5"/>
        <v>5.3563894463156826E-2</v>
      </c>
      <c r="AI17" s="230">
        <f t="shared" si="6"/>
        <v>2.3700868535539554E-2</v>
      </c>
      <c r="AJ17" s="230">
        <f t="shared" si="6"/>
        <v>0</v>
      </c>
    </row>
    <row r="18" spans="1:36" ht="19.25" customHeight="1" x14ac:dyDescent="0.2">
      <c r="A18" s="9">
        <v>3990</v>
      </c>
      <c r="B18" s="11" t="s">
        <v>8</v>
      </c>
      <c r="C18" s="119">
        <f>'Turn '!H17</f>
        <v>0</v>
      </c>
      <c r="D18" s="119">
        <f>'Turn '!K17</f>
        <v>30616</v>
      </c>
      <c r="E18" s="119">
        <f>'Turn '!L17</f>
        <v>0</v>
      </c>
      <c r="F18" s="119">
        <f>Ski!H17</f>
        <v>3333</v>
      </c>
      <c r="G18" s="119">
        <f>Ski!K17</f>
        <v>0</v>
      </c>
      <c r="H18" s="119">
        <f>Ski!L17</f>
        <v>0</v>
      </c>
      <c r="I18" s="119">
        <f>Fotball!I17</f>
        <v>0</v>
      </c>
      <c r="J18" s="119">
        <f>Fotball!K17</f>
        <v>0</v>
      </c>
      <c r="K18" s="119">
        <f>Fotball!L17</f>
        <v>0</v>
      </c>
      <c r="L18" s="119">
        <f>Sykkel!H17</f>
        <v>0</v>
      </c>
      <c r="M18" s="119">
        <f>Sykkel!K17</f>
        <v>0</v>
      </c>
      <c r="N18" s="119">
        <f>Sykkel!L17</f>
        <v>0</v>
      </c>
      <c r="O18" s="119">
        <f>'G &amp; T'!H17</f>
        <v>0</v>
      </c>
      <c r="P18" s="119">
        <f>'G &amp; T'!K17</f>
        <v>0</v>
      </c>
      <c r="Q18" s="119">
        <f>'G &amp; T'!L17</f>
        <v>0</v>
      </c>
      <c r="R18" s="119">
        <f>TKD!D17</f>
        <v>0</v>
      </c>
      <c r="S18" s="119">
        <f>TKD!F17</f>
        <v>0</v>
      </c>
      <c r="T18" s="119">
        <f>TKD!G17</f>
        <v>0</v>
      </c>
      <c r="U18" s="119">
        <f>Hovedlaget!H17+Anlegg!H17+Prestmarka!H17+Blilie!H17</f>
        <v>57931.95</v>
      </c>
      <c r="V18" s="119">
        <f>Hovedlaget!K17+Anlegg!K17+Prestmarka!K17+Blilie!K17</f>
        <v>51380.22</v>
      </c>
      <c r="W18" s="251">
        <f>Hovedlaget!L17+Anlegg!L17+Prestmarka!L17+Blilie!L17</f>
        <v>50000</v>
      </c>
      <c r="X18" s="263">
        <f>'Turn '!F17+Ski!F17+Fotball!F17+Sykkel!F17+'G &amp; T'!F17+Hovedlaget!F17+Anlegg!F17+Prestmarka!F17+Blilie!F17</f>
        <v>80195.510000000009</v>
      </c>
      <c r="Y18" s="161">
        <f>'Turn '!E17+Ski!E17+Fotball!E17+Sykkel!E17+'G &amp; T'!E17+Hovedlaget!E17+Anlegg!E17+Blilie!E17+Prestmarka!E17</f>
        <v>82080</v>
      </c>
      <c r="Z18" s="161">
        <f t="shared" si="1"/>
        <v>61264.95</v>
      </c>
      <c r="AA18" s="264">
        <f>'Turn '!J17+Ski!J17+Fotball!J17+Sykkel!J17+'G &amp; T'!J17+TKD!E17+Hovedlaget!J17+Anlegg!J17+Prestmarka!J17+Blilie!J17</f>
        <v>58500</v>
      </c>
      <c r="AB18" s="242">
        <f t="shared" si="2"/>
        <v>81996.22</v>
      </c>
      <c r="AC18" s="274">
        <f t="shared" si="3"/>
        <v>50000</v>
      </c>
      <c r="AE18" s="4">
        <f t="shared" si="4"/>
        <v>23496.22</v>
      </c>
      <c r="AF18" s="4"/>
      <c r="AG18" s="4">
        <f t="shared" si="7"/>
        <v>20731.270000000004</v>
      </c>
      <c r="AH18" s="230">
        <f t="shared" si="5"/>
        <v>4.4314661536360662E-2</v>
      </c>
      <c r="AI18" s="230">
        <f t="shared" si="6"/>
        <v>6.2447995842904211E-2</v>
      </c>
      <c r="AJ18" s="230">
        <f t="shared" si="6"/>
        <v>3.9047247169074581E-2</v>
      </c>
    </row>
    <row r="19" spans="1:36" ht="19.25" customHeight="1" x14ac:dyDescent="0.2">
      <c r="A19" s="9"/>
      <c r="B19" s="151" t="s">
        <v>14</v>
      </c>
      <c r="C19" s="159">
        <f t="shared" ref="C19:P19" si="8">SUM(C5:C18)</f>
        <v>107069</v>
      </c>
      <c r="D19" s="159">
        <f t="shared" si="8"/>
        <v>231345</v>
      </c>
      <c r="E19" s="159">
        <f t="shared" si="8"/>
        <v>166500</v>
      </c>
      <c r="F19" s="159">
        <f t="shared" si="8"/>
        <v>71565</v>
      </c>
      <c r="G19" s="159">
        <f t="shared" si="8"/>
        <v>46852</v>
      </c>
      <c r="H19" s="159">
        <f t="shared" si="8"/>
        <v>43000</v>
      </c>
      <c r="I19" s="159">
        <f t="shared" si="8"/>
        <v>461400</v>
      </c>
      <c r="J19" s="159">
        <f t="shared" si="8"/>
        <v>370367</v>
      </c>
      <c r="K19" s="159">
        <f t="shared" si="8"/>
        <v>360000</v>
      </c>
      <c r="L19" s="159">
        <f t="shared" si="8"/>
        <v>0</v>
      </c>
      <c r="M19" s="159">
        <f t="shared" si="8"/>
        <v>0</v>
      </c>
      <c r="N19" s="159">
        <f t="shared" si="8"/>
        <v>0</v>
      </c>
      <c r="O19" s="159">
        <f t="shared" si="8"/>
        <v>0</v>
      </c>
      <c r="P19" s="159">
        <f t="shared" si="8"/>
        <v>0</v>
      </c>
      <c r="Q19" s="159">
        <f t="shared" ref="Q19:W19" si="9">SUM(Q5:Q18)</f>
        <v>0</v>
      </c>
      <c r="R19" s="159">
        <f t="shared" si="9"/>
        <v>12000</v>
      </c>
      <c r="S19" s="159">
        <f t="shared" si="9"/>
        <v>43506</v>
      </c>
      <c r="T19" s="159">
        <f t="shared" si="9"/>
        <v>101000</v>
      </c>
      <c r="U19" s="159">
        <f t="shared" si="9"/>
        <v>730464.42999999993</v>
      </c>
      <c r="V19" s="159">
        <f t="shared" si="9"/>
        <v>620962.05000000005</v>
      </c>
      <c r="W19" s="253">
        <f t="shared" si="9"/>
        <v>610000</v>
      </c>
      <c r="X19" s="265">
        <f t="shared" ref="X19:AC19" si="10">SUM(X5:X18)</f>
        <v>2068187.6199999999</v>
      </c>
      <c r="Y19" s="152">
        <f t="shared" si="10"/>
        <v>1642279</v>
      </c>
      <c r="Z19" s="152">
        <f t="shared" si="10"/>
        <v>1382498.43</v>
      </c>
      <c r="AA19" s="152">
        <f t="shared" si="10"/>
        <v>1193550</v>
      </c>
      <c r="AB19" s="243">
        <f t="shared" si="10"/>
        <v>1313032.05</v>
      </c>
      <c r="AC19" s="277">
        <f t="shared" si="10"/>
        <v>1280500</v>
      </c>
      <c r="AE19" s="152">
        <f>SUM(AE5:AE18)</f>
        <v>119482.05000000002</v>
      </c>
      <c r="AF19" s="232"/>
      <c r="AG19" s="152">
        <f>AB19-Z19</f>
        <v>-69466.379999999888</v>
      </c>
      <c r="AH19" s="232"/>
    </row>
    <row r="20" spans="1:36" ht="26" customHeight="1" x14ac:dyDescent="0.2">
      <c r="A20" s="9"/>
      <c r="B20" s="12" t="s">
        <v>101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21"/>
      <c r="S20" s="121"/>
      <c r="T20" s="121"/>
      <c r="U20" s="10"/>
      <c r="V20" s="10"/>
      <c r="W20" s="254"/>
      <c r="X20" s="266"/>
      <c r="Y20" s="162"/>
      <c r="Z20" s="162"/>
      <c r="AA20" s="236"/>
      <c r="AB20" s="244"/>
      <c r="AC20" s="278"/>
    </row>
    <row r="21" spans="1:36" ht="18" customHeight="1" x14ac:dyDescent="0.2">
      <c r="A21" s="9">
        <v>4210</v>
      </c>
      <c r="B21" s="9" t="s">
        <v>16</v>
      </c>
      <c r="C21" s="119">
        <f>'Turn '!H20</f>
        <v>0</v>
      </c>
      <c r="D21" s="119">
        <f>'Turn '!K20</f>
        <v>0</v>
      </c>
      <c r="E21" s="119">
        <f>'Turn '!L20</f>
        <v>0</v>
      </c>
      <c r="F21" s="119">
        <f>Ski!H20</f>
        <v>5237</v>
      </c>
      <c r="G21" s="119">
        <f>Ski!K20</f>
        <v>8846</v>
      </c>
      <c r="H21" s="119">
        <f>Ski!L20</f>
        <v>10000</v>
      </c>
      <c r="I21" s="119">
        <f>Fotball!I20</f>
        <v>6000</v>
      </c>
      <c r="J21" s="119">
        <f>Fotball!K20</f>
        <v>4762</v>
      </c>
      <c r="K21" s="119">
        <f>Fotball!L20</f>
        <v>5500</v>
      </c>
      <c r="L21" s="119">
        <f>Sykkel!H20</f>
        <v>0</v>
      </c>
      <c r="M21" s="119">
        <f>Sykkel!K20</f>
        <v>0</v>
      </c>
      <c r="N21" s="119">
        <f>Sykkel!L20</f>
        <v>0</v>
      </c>
      <c r="O21" s="119">
        <f>'G &amp; T'!H20</f>
        <v>0</v>
      </c>
      <c r="P21" s="119">
        <f>'G &amp; T'!K20</f>
        <v>0</v>
      </c>
      <c r="Q21" s="119">
        <f>'G &amp; T'!L20</f>
        <v>0</v>
      </c>
      <c r="R21" s="119">
        <f>TKD!D20</f>
        <v>0</v>
      </c>
      <c r="S21" s="119">
        <f>TKD!F20</f>
        <v>0</v>
      </c>
      <c r="T21" s="119">
        <f>TKD!G20</f>
        <v>0</v>
      </c>
      <c r="U21" s="119">
        <f>Hovedlaget!H20+Anlegg!H20+Prestmarka!H20+Blilie!H20</f>
        <v>0</v>
      </c>
      <c r="V21" s="119">
        <f>Hovedlaget!K20+Anlegg!K20+Prestmarka!K20+Blilie!K20</f>
        <v>0</v>
      </c>
      <c r="W21" s="251">
        <f>Hovedlaget!L20+Anlegg!L20+Prestmarka!L20+Blilie!L20</f>
        <v>0</v>
      </c>
      <c r="X21" s="263">
        <f>'Turn '!F20+Ski!F20+Fotball!F20+Sykkel!F20+'G &amp; T'!F20+Hovedlaget!F20+Anlegg!F20+Prestmarka!F20+Blilie!F20</f>
        <v>19461.2</v>
      </c>
      <c r="Y21" s="162">
        <f>'Turn '!E20+Ski!E20+Fotball!F21+Sykkel!E20+'G &amp; T'!E20+Hovedlaget!E20+Anlegg!E20+Blilie!E20+Prestmarka!E20</f>
        <v>16993</v>
      </c>
      <c r="Z21" s="161">
        <f t="shared" ref="Z21:Z52" si="11">C21+F21+I21+L21+O21+R21+U21</f>
        <v>11237</v>
      </c>
      <c r="AA21" s="264">
        <f>'Turn '!J20+Ski!J20+Fotball!J20+Sykkel!J20+'G &amp; T'!J20+TKD!E20+Hovedlaget!J20+Anlegg!J20+Prestmarka!J20+Blilie!J20</f>
        <v>14600</v>
      </c>
      <c r="AB21" s="242">
        <f t="shared" ref="AB21:AB52" si="12">D21+G21+J21+M21+P21+S21+V21</f>
        <v>13608</v>
      </c>
      <c r="AC21" s="274">
        <f t="shared" ref="AC21:AC52" si="13">E21+H21+K21+N21+Q21+T21+W21</f>
        <v>15500</v>
      </c>
      <c r="AE21" s="4">
        <f>AA21-AB21</f>
        <v>992</v>
      </c>
      <c r="AF21" s="4"/>
      <c r="AG21" s="4">
        <f>Z21-AB21</f>
        <v>-2371</v>
      </c>
      <c r="AH21" s="230">
        <f>Z21/Z$53</f>
        <v>8.942948785713169E-3</v>
      </c>
      <c r="AI21" s="230">
        <f>AB21/AB$53</f>
        <v>1.0114440945088366E-2</v>
      </c>
      <c r="AJ21" s="230">
        <f>AC21/AC$53</f>
        <v>1.1543904073880985E-2</v>
      </c>
    </row>
    <row r="22" spans="1:36" ht="18" customHeight="1" x14ac:dyDescent="0.2">
      <c r="A22" s="9">
        <v>4220</v>
      </c>
      <c r="B22" s="9" t="s">
        <v>17</v>
      </c>
      <c r="C22" s="119">
        <f>'Turn '!H21</f>
        <v>0</v>
      </c>
      <c r="D22" s="119">
        <f>'Turn '!K21</f>
        <v>0</v>
      </c>
      <c r="E22" s="119">
        <f>'Turn '!L21</f>
        <v>0</v>
      </c>
      <c r="F22" s="119">
        <f>Ski!H21</f>
        <v>0</v>
      </c>
      <c r="G22" s="119">
        <f>Ski!K21</f>
        <v>0</v>
      </c>
      <c r="H22" s="119">
        <f>Ski!L21</f>
        <v>0</v>
      </c>
      <c r="I22" s="119">
        <f>Fotball!I21</f>
        <v>0</v>
      </c>
      <c r="J22" s="119">
        <f>Fotball!K21</f>
        <v>0</v>
      </c>
      <c r="K22" s="119">
        <f>Fotball!L21</f>
        <v>0</v>
      </c>
      <c r="L22" s="119">
        <f>Sykkel!H21</f>
        <v>0</v>
      </c>
      <c r="M22" s="119">
        <f>Sykkel!K21</f>
        <v>0</v>
      </c>
      <c r="N22" s="119">
        <f>Sykkel!L21</f>
        <v>0</v>
      </c>
      <c r="O22" s="119">
        <f>'G &amp; T'!H21</f>
        <v>0</v>
      </c>
      <c r="P22" s="119">
        <f>'G &amp; T'!K21</f>
        <v>0</v>
      </c>
      <c r="Q22" s="119">
        <f>'G &amp; T'!L21</f>
        <v>0</v>
      </c>
      <c r="R22" s="119">
        <f>TKD!D21</f>
        <v>0</v>
      </c>
      <c r="S22" s="119">
        <f>TKD!F21</f>
        <v>0</v>
      </c>
      <c r="T22" s="119">
        <f>TKD!G21</f>
        <v>0</v>
      </c>
      <c r="U22" s="119">
        <f>Hovedlaget!H21+Anlegg!H21+Prestmarka!H21+Blilie!H21</f>
        <v>0</v>
      </c>
      <c r="V22" s="119">
        <f>Hovedlaget!K21+Anlegg!K21+Prestmarka!K21+Blilie!K21</f>
        <v>0</v>
      </c>
      <c r="W22" s="251">
        <f>Hovedlaget!L21+Anlegg!L21+Prestmarka!L21+Blilie!L21</f>
        <v>0</v>
      </c>
      <c r="X22" s="263">
        <f>'Turn '!F21+Ski!F21+Fotball!F21+Sykkel!F21+'G &amp; T'!F21+Hovedlaget!F21+Anlegg!F21+Prestmarka!F21+Blilie!F21</f>
        <v>0</v>
      </c>
      <c r="Y22" s="162">
        <f>'Turn '!E21+Ski!E21+Fotball!E21+Sykkel!E21+'G &amp; T'!E21+Hovedlaget!E21+Anlegg!E21+Blilie!E21+Prestmarka!E21</f>
        <v>0</v>
      </c>
      <c r="Z22" s="161">
        <f t="shared" si="11"/>
        <v>0</v>
      </c>
      <c r="AA22" s="264">
        <f>'Turn '!J21+Ski!J21+Fotball!J21+Sykkel!J21+'G &amp; T'!J21+TKD!E21+Hovedlaget!J21+Anlegg!J21+Prestmarka!J21+Blilie!J21</f>
        <v>0</v>
      </c>
      <c r="AB22" s="242">
        <f t="shared" si="12"/>
        <v>0</v>
      </c>
      <c r="AC22" s="274">
        <f t="shared" si="13"/>
        <v>0</v>
      </c>
      <c r="AE22" s="4">
        <f t="shared" ref="AE22:AE52" si="14">AA22-AB22</f>
        <v>0</v>
      </c>
      <c r="AF22" s="4"/>
      <c r="AG22" s="4">
        <f>Z22-AB22</f>
        <v>0</v>
      </c>
      <c r="AH22" s="230">
        <f t="shared" ref="AH22:AH52" si="15">Z22/Z$53</f>
        <v>0</v>
      </c>
      <c r="AI22" s="230">
        <f t="shared" ref="AI22:AJ52" si="16">AB22/AB$53</f>
        <v>0</v>
      </c>
      <c r="AJ22" s="230">
        <f t="shared" si="16"/>
        <v>0</v>
      </c>
    </row>
    <row r="23" spans="1:36" ht="18" customHeight="1" x14ac:dyDescent="0.2">
      <c r="A23" s="9">
        <v>4225</v>
      </c>
      <c r="B23" s="13" t="s">
        <v>19</v>
      </c>
      <c r="C23" s="119">
        <f>'Turn '!H22</f>
        <v>0</v>
      </c>
      <c r="D23" s="119">
        <f>'Turn '!K22</f>
        <v>20299</v>
      </c>
      <c r="E23" s="119">
        <f>'Turn '!L22</f>
        <v>0</v>
      </c>
      <c r="F23" s="119">
        <f>Ski!H22</f>
        <v>0</v>
      </c>
      <c r="G23" s="119">
        <f>Ski!K22</f>
        <v>0</v>
      </c>
      <c r="H23" s="119">
        <f>Ski!L22</f>
        <v>0</v>
      </c>
      <c r="I23" s="119">
        <f>Fotball!I22</f>
        <v>8000</v>
      </c>
      <c r="J23" s="119">
        <f>Fotball!K22</f>
        <v>10996</v>
      </c>
      <c r="K23" s="119">
        <f>Fotball!L22</f>
        <v>0</v>
      </c>
      <c r="L23" s="119">
        <f>Sykkel!H22</f>
        <v>0</v>
      </c>
      <c r="M23" s="119">
        <f>Sykkel!K22</f>
        <v>0</v>
      </c>
      <c r="N23" s="119">
        <f>Sykkel!L22</f>
        <v>0</v>
      </c>
      <c r="O23" s="119">
        <f>'G &amp; T'!H22</f>
        <v>0</v>
      </c>
      <c r="P23" s="119">
        <f>'G &amp; T'!K22</f>
        <v>0</v>
      </c>
      <c r="Q23" s="119">
        <f>'G &amp; T'!L22</f>
        <v>0</v>
      </c>
      <c r="R23" s="119">
        <f>TKD!D22</f>
        <v>0</v>
      </c>
      <c r="S23" s="119">
        <f>TKD!F22</f>
        <v>0</v>
      </c>
      <c r="T23" s="119">
        <f>TKD!G22</f>
        <v>0</v>
      </c>
      <c r="U23" s="119">
        <f>Hovedlaget!H22+Anlegg!H22+Prestmarka!H22+Blilie!H22</f>
        <v>58950</v>
      </c>
      <c r="V23" s="119">
        <f>Hovedlaget!K22+Anlegg!K22+Prestmarka!K22+Blilie!K22</f>
        <v>47520</v>
      </c>
      <c r="W23" s="251">
        <f>Hovedlaget!L22+Anlegg!L22+Prestmarka!L22+Blilie!L22</f>
        <v>50000</v>
      </c>
      <c r="X23" s="263">
        <f>'Turn '!F22+Ski!F22+Fotball!F22+Sykkel!F22+'G &amp; T'!F22+Hovedlaget!F22+Anlegg!F22+Prestmarka!F22+Blilie!F22</f>
        <v>125319</v>
      </c>
      <c r="Y23" s="162">
        <f>'Turn '!E22+Ski!E22+Fotball!E22+Sykkel!E22+'G &amp; T'!E22+Hovedlaget!E22+Anlegg!E22+Blilie!E22+Prestmarka!E22</f>
        <v>136114</v>
      </c>
      <c r="Z23" s="161">
        <f t="shared" si="11"/>
        <v>66950</v>
      </c>
      <c r="AA23" s="264">
        <f>'Turn '!J22+Ski!J22+Fotball!J22+Sykkel!J22+'G &amp; T'!J22+TKD!E22+Hovedlaget!J22+Anlegg!J22+Prestmarka!J22+Blilie!J22</f>
        <v>58000</v>
      </c>
      <c r="AB23" s="242">
        <f t="shared" si="12"/>
        <v>78815</v>
      </c>
      <c r="AC23" s="274">
        <f t="shared" si="13"/>
        <v>50000</v>
      </c>
      <c r="AE23" s="4">
        <f t="shared" si="14"/>
        <v>-20815</v>
      </c>
      <c r="AF23" s="4"/>
      <c r="AG23" s="4">
        <f t="shared" ref="AG23:AG53" si="17">Z23-AB23</f>
        <v>-11865</v>
      </c>
      <c r="AH23" s="230">
        <f t="shared" si="15"/>
        <v>5.3282052256251378E-2</v>
      </c>
      <c r="AI23" s="230">
        <f t="shared" si="16"/>
        <v>5.8580957016985569E-2</v>
      </c>
      <c r="AJ23" s="230">
        <f t="shared" si="16"/>
        <v>3.723840023832576E-2</v>
      </c>
    </row>
    <row r="24" spans="1:36" ht="18" customHeight="1" x14ac:dyDescent="0.2">
      <c r="A24" s="9">
        <v>4300</v>
      </c>
      <c r="B24" s="13" t="s">
        <v>18</v>
      </c>
      <c r="C24" s="119">
        <f>'Turn '!H23</f>
        <v>0</v>
      </c>
      <c r="D24" s="119">
        <f>'Turn '!K23</f>
        <v>0</v>
      </c>
      <c r="E24" s="119">
        <f>'Turn '!L23</f>
        <v>500</v>
      </c>
      <c r="F24" s="119">
        <f>Ski!H23</f>
        <v>0</v>
      </c>
      <c r="G24" s="119">
        <f>Ski!K23</f>
        <v>0</v>
      </c>
      <c r="H24" s="119">
        <f>Ski!L23</f>
        <v>0</v>
      </c>
      <c r="I24" s="119">
        <f>Fotball!I23</f>
        <v>0</v>
      </c>
      <c r="J24" s="119">
        <f>Fotball!K23</f>
        <v>0</v>
      </c>
      <c r="K24" s="119">
        <f>Fotball!L23</f>
        <v>0</v>
      </c>
      <c r="L24" s="119">
        <f>Sykkel!H23</f>
        <v>0</v>
      </c>
      <c r="M24" s="119">
        <f>Sykkel!K23</f>
        <v>0</v>
      </c>
      <c r="N24" s="119">
        <f>Sykkel!L23</f>
        <v>0</v>
      </c>
      <c r="O24" s="119">
        <f>'G &amp; T'!H23</f>
        <v>0</v>
      </c>
      <c r="P24" s="119">
        <f>'G &amp; T'!K23</f>
        <v>0</v>
      </c>
      <c r="Q24" s="119">
        <f>'G &amp; T'!L23</f>
        <v>0</v>
      </c>
      <c r="R24" s="119">
        <f>TKD!D23</f>
        <v>0</v>
      </c>
      <c r="S24" s="119">
        <f>TKD!F23</f>
        <v>0</v>
      </c>
      <c r="T24" s="119">
        <f>TKD!G23</f>
        <v>0</v>
      </c>
      <c r="U24" s="119">
        <f>Hovedlaget!H23+Anlegg!H23+Prestmarka!H23+Blilie!H23</f>
        <v>50635.409999999996</v>
      </c>
      <c r="V24" s="119">
        <f>Hovedlaget!K23+Anlegg!K23+Prestmarka!K23+Blilie!K23</f>
        <v>51300</v>
      </c>
      <c r="W24" s="251">
        <f>Hovedlaget!L23+Anlegg!L23+Prestmarka!L23+Blilie!L23</f>
        <v>55000</v>
      </c>
      <c r="X24" s="263">
        <f>'Turn '!F23+Ski!F23+Fotball!F23+Sykkel!F23+'G &amp; T'!F23+Hovedlaget!F23+Anlegg!F23+Prestmarka!F23+Blilie!F23</f>
        <v>57684.15</v>
      </c>
      <c r="Y24" s="162">
        <f>'Turn '!E23+Ski!E23+Fotball!E23+Sykkel!E23+'G &amp; T'!E23+Hovedlaget!E23+Anlegg!E23+Blilie!E23+Prestmarka!E23</f>
        <v>51365</v>
      </c>
      <c r="Z24" s="161">
        <f t="shared" si="11"/>
        <v>50635.409999999996</v>
      </c>
      <c r="AA24" s="264">
        <f>'Turn '!J23+Ski!J23+Fotball!J23+Sykkel!J23+'G &amp; T'!J23+TKD!E23+Hovedlaget!J23+Anlegg!J23+Prestmarka!J23+Blilie!J23</f>
        <v>50000</v>
      </c>
      <c r="AB24" s="242">
        <f t="shared" si="12"/>
        <v>51300</v>
      </c>
      <c r="AC24" s="274">
        <f t="shared" si="13"/>
        <v>55500</v>
      </c>
      <c r="AE24" s="4">
        <f t="shared" si="14"/>
        <v>-1300</v>
      </c>
      <c r="AF24" s="4"/>
      <c r="AG24" s="4">
        <f t="shared" si="17"/>
        <v>-664.59000000000378</v>
      </c>
      <c r="AH24" s="230">
        <f t="shared" si="15"/>
        <v>4.0298111450884438E-2</v>
      </c>
      <c r="AI24" s="230">
        <f t="shared" si="16"/>
        <v>3.8129836896166461E-2</v>
      </c>
      <c r="AJ24" s="230">
        <f t="shared" si="16"/>
        <v>4.1334624264541597E-2</v>
      </c>
    </row>
    <row r="25" spans="1:36" ht="18" customHeight="1" x14ac:dyDescent="0.2">
      <c r="A25" s="9">
        <v>5000</v>
      </c>
      <c r="B25" s="9" t="s">
        <v>20</v>
      </c>
      <c r="C25" s="119">
        <f>'Turn '!H24</f>
        <v>40295</v>
      </c>
      <c r="D25" s="119">
        <f>'Turn '!K24</f>
        <v>38178</v>
      </c>
      <c r="E25" s="119">
        <f>'Turn '!L24</f>
        <v>25000</v>
      </c>
      <c r="F25" s="119">
        <f>Ski!H24</f>
        <v>0</v>
      </c>
      <c r="G25" s="119">
        <f>Ski!K24</f>
        <v>0</v>
      </c>
      <c r="H25" s="119">
        <f>Ski!L24</f>
        <v>0</v>
      </c>
      <c r="I25" s="119">
        <f>Fotball!I24</f>
        <v>0</v>
      </c>
      <c r="J25" s="119">
        <f>Fotball!K24</f>
        <v>0</v>
      </c>
      <c r="K25" s="119">
        <f>Fotball!L24</f>
        <v>0</v>
      </c>
      <c r="L25" s="119">
        <f>Sykkel!H24</f>
        <v>0</v>
      </c>
      <c r="M25" s="119">
        <f>Sykkel!K24</f>
        <v>0</v>
      </c>
      <c r="N25" s="119">
        <f>Sykkel!L24</f>
        <v>0</v>
      </c>
      <c r="O25" s="119">
        <f>'G &amp; T'!H24</f>
        <v>0</v>
      </c>
      <c r="P25" s="119">
        <f>'G &amp; T'!K24</f>
        <v>0</v>
      </c>
      <c r="Q25" s="119">
        <f>'G &amp; T'!L24</f>
        <v>0</v>
      </c>
      <c r="R25" s="119">
        <f>TKD!D24</f>
        <v>0</v>
      </c>
      <c r="S25" s="119">
        <f>TKD!F24</f>
        <v>0</v>
      </c>
      <c r="T25" s="119">
        <f>TKD!G24</f>
        <v>0</v>
      </c>
      <c r="U25" s="119">
        <f>Hovedlaget!H24+Anlegg!H24+Prestmarka!H24+Blilie!H24</f>
        <v>0</v>
      </c>
      <c r="V25" s="119">
        <f>Hovedlaget!K24+Anlegg!K24+Prestmarka!K24+Blilie!K24</f>
        <v>275</v>
      </c>
      <c r="W25" s="251">
        <f>Hovedlaget!L24+Anlegg!L24+Prestmarka!L24+Blilie!L24</f>
        <v>0</v>
      </c>
      <c r="X25" s="263">
        <f>'Turn '!F24+Ski!F24+Fotball!F24+Sykkel!F24+'G &amp; T'!F24+Hovedlaget!F24+Anlegg!F24+Prestmarka!F24+Blilie!F24</f>
        <v>9460</v>
      </c>
      <c r="Y25" s="162">
        <f>'Turn '!E24+Ski!E24+Fotball!E24+Sykkel!E24+'G &amp; T'!E24+Hovedlaget!E24+Anlegg!E24+Blilie!E24+Prestmarka!E24</f>
        <v>8740</v>
      </c>
      <c r="Z25" s="161">
        <f t="shared" si="11"/>
        <v>40295</v>
      </c>
      <c r="AA25" s="264">
        <f>'Turn '!J24+Ski!J24+Fotball!J24+Sykkel!J24+'G &amp; T'!J24+TKD!E24+Hovedlaget!J24+Anlegg!J24+Prestmarka!J24+Blilie!J24</f>
        <v>25000</v>
      </c>
      <c r="AB25" s="242">
        <f t="shared" si="12"/>
        <v>38453</v>
      </c>
      <c r="AC25" s="274">
        <f t="shared" si="13"/>
        <v>25000</v>
      </c>
      <c r="AE25" s="4">
        <f t="shared" si="14"/>
        <v>-13453</v>
      </c>
      <c r="AF25" s="4"/>
      <c r="AG25" s="4">
        <f t="shared" si="17"/>
        <v>1842</v>
      </c>
      <c r="AH25" s="230">
        <f t="shared" si="15"/>
        <v>3.206871240725391E-2</v>
      </c>
      <c r="AI25" s="230">
        <f t="shared" si="16"/>
        <v>2.8581025695288285E-2</v>
      </c>
      <c r="AJ25" s="230">
        <f t="shared" si="16"/>
        <v>1.861920011916288E-2</v>
      </c>
    </row>
    <row r="26" spans="1:36" ht="18" customHeight="1" x14ac:dyDescent="0.2">
      <c r="A26" s="9">
        <v>6315</v>
      </c>
      <c r="B26" s="9" t="s">
        <v>22</v>
      </c>
      <c r="C26" s="119">
        <f>'Turn '!H25</f>
        <v>0</v>
      </c>
      <c r="D26" s="119">
        <f>'Turn '!K25</f>
        <v>0</v>
      </c>
      <c r="E26" s="119">
        <f>'Turn '!L25</f>
        <v>0</v>
      </c>
      <c r="F26" s="119">
        <f>Ski!H25</f>
        <v>0</v>
      </c>
      <c r="G26" s="119">
        <f>Ski!K25</f>
        <v>0</v>
      </c>
      <c r="H26" s="119">
        <f>Ski!L25</f>
        <v>0</v>
      </c>
      <c r="I26" s="119">
        <f>Fotball!I25</f>
        <v>0</v>
      </c>
      <c r="J26" s="119">
        <f>Fotball!K25</f>
        <v>0</v>
      </c>
      <c r="K26" s="119">
        <f>Fotball!L25</f>
        <v>0</v>
      </c>
      <c r="L26" s="119">
        <f>Sykkel!H25</f>
        <v>0</v>
      </c>
      <c r="M26" s="119">
        <f>Sykkel!K25</f>
        <v>0</v>
      </c>
      <c r="N26" s="119">
        <f>Sykkel!L25</f>
        <v>0</v>
      </c>
      <c r="O26" s="119">
        <f>'G &amp; T'!H25</f>
        <v>0</v>
      </c>
      <c r="P26" s="119">
        <f>'G &amp; T'!K25</f>
        <v>0</v>
      </c>
      <c r="Q26" s="119">
        <f>'G &amp; T'!L25</f>
        <v>0</v>
      </c>
      <c r="R26" s="119">
        <f>TKD!D25</f>
        <v>0</v>
      </c>
      <c r="S26" s="119">
        <f>TKD!F25</f>
        <v>0</v>
      </c>
      <c r="T26" s="119">
        <f>TKD!G25</f>
        <v>0</v>
      </c>
      <c r="U26" s="119">
        <f>Hovedlaget!H25+Anlegg!H25+Prestmarka!H25+Blilie!H25</f>
        <v>14253.599999999999</v>
      </c>
      <c r="V26" s="119">
        <f>Hovedlaget!K25+Anlegg!K25+Prestmarka!K25+Blilie!K25</f>
        <v>3583.24</v>
      </c>
      <c r="W26" s="251">
        <f>Hovedlaget!L25+Anlegg!L25+Prestmarka!L25+Blilie!L25</f>
        <v>10000</v>
      </c>
      <c r="X26" s="263">
        <f>'Turn '!F25+Ski!F25+Fotball!F25+Sykkel!F25+'G &amp; T'!F25+Hovedlaget!F25+Anlegg!F25+Prestmarka!F25+Blilie!F25</f>
        <v>4573.2</v>
      </c>
      <c r="Y26" s="162">
        <f>'Turn '!E25+Ski!E25+Fotball!E25+Sykkel!E25+'G &amp; T'!E25+Hovedlaget!E25+Anlegg!E25+Blilie!E25+Prestmarka!E25</f>
        <v>7297</v>
      </c>
      <c r="Z26" s="161">
        <f t="shared" si="11"/>
        <v>14253.599999999999</v>
      </c>
      <c r="AA26" s="264">
        <f>'Turn '!J25+Ski!J25+Fotball!J25+Sykkel!J25+'G &amp; T'!J25+TKD!E25+Hovedlaget!J25+Anlegg!J25+Prestmarka!J25+Blilie!J25</f>
        <v>8000</v>
      </c>
      <c r="AB26" s="242">
        <f t="shared" si="12"/>
        <v>3583.24</v>
      </c>
      <c r="AC26" s="274">
        <f t="shared" si="13"/>
        <v>10000</v>
      </c>
      <c r="AE26" s="4">
        <f t="shared" si="14"/>
        <v>4416.76</v>
      </c>
      <c r="AF26" s="4"/>
      <c r="AG26" s="4">
        <f t="shared" si="17"/>
        <v>10670.359999999999</v>
      </c>
      <c r="AH26" s="230">
        <f t="shared" si="15"/>
        <v>1.1343705153692376E-2</v>
      </c>
      <c r="AI26" s="230">
        <f t="shared" si="16"/>
        <v>2.6633207945383919E-3</v>
      </c>
      <c r="AJ26" s="230">
        <f t="shared" si="16"/>
        <v>7.4476800476651521E-3</v>
      </c>
    </row>
    <row r="27" spans="1:36" ht="18" customHeight="1" x14ac:dyDescent="0.2">
      <c r="A27" s="9">
        <v>6316</v>
      </c>
      <c r="B27" s="13" t="s">
        <v>39</v>
      </c>
      <c r="C27" s="119">
        <f>'Turn '!H26</f>
        <v>0</v>
      </c>
      <c r="D27" s="119">
        <f>'Turn '!K26</f>
        <v>0</v>
      </c>
      <c r="E27" s="119">
        <f>'Turn '!L26</f>
        <v>0</v>
      </c>
      <c r="F27" s="119">
        <f>Ski!H26</f>
        <v>0</v>
      </c>
      <c r="G27" s="119">
        <f>Ski!K26</f>
        <v>0</v>
      </c>
      <c r="H27" s="119">
        <f>Ski!L26</f>
        <v>0</v>
      </c>
      <c r="I27" s="119">
        <f>Fotball!I26</f>
        <v>0</v>
      </c>
      <c r="J27" s="119">
        <f>Fotball!K26</f>
        <v>0</v>
      </c>
      <c r="K27" s="119">
        <f>Fotball!L26</f>
        <v>0</v>
      </c>
      <c r="L27" s="119">
        <f>Sykkel!H26</f>
        <v>0</v>
      </c>
      <c r="M27" s="119">
        <f>Sykkel!K26</f>
        <v>0</v>
      </c>
      <c r="N27" s="119">
        <f>Sykkel!L26</f>
        <v>0</v>
      </c>
      <c r="O27" s="119">
        <f>'G &amp; T'!H26</f>
        <v>0</v>
      </c>
      <c r="P27" s="119">
        <f>'G &amp; T'!K26</f>
        <v>0</v>
      </c>
      <c r="Q27" s="119">
        <f>'G &amp; T'!L26</f>
        <v>0</v>
      </c>
      <c r="R27" s="119">
        <f>TKD!D26</f>
        <v>0</v>
      </c>
      <c r="S27" s="119">
        <f>TKD!F26</f>
        <v>0</v>
      </c>
      <c r="T27" s="119">
        <f>TKD!G26</f>
        <v>0</v>
      </c>
      <c r="U27" s="119">
        <f>Hovedlaget!H26+Anlegg!H26+Prestmarka!H26+Blilie!H26</f>
        <v>1500</v>
      </c>
      <c r="V27" s="119">
        <f>Hovedlaget!K26+Anlegg!K26+Prestmarka!K26+Blilie!K26</f>
        <v>3750</v>
      </c>
      <c r="W27" s="251">
        <f>Hovedlaget!L26+Anlegg!L26+Prestmarka!L26+Blilie!L26</f>
        <v>12000</v>
      </c>
      <c r="X27" s="263">
        <f>'Turn '!F26+Ski!F26+Fotball!F26+Sykkel!F26+'G &amp; T'!F26+Hovedlaget!F26+Anlegg!F26+Prestmarka!F26+Blilie!F26</f>
        <v>10125</v>
      </c>
      <c r="Y27" s="162">
        <f>'Turn '!E26+Ski!E26+Fotball!E26+Sykkel!E26+'G &amp; T'!E26+Hovedlaget!E26+Anlegg!E26+Blilie!E26+Prestmarka!E26</f>
        <v>10937.5</v>
      </c>
      <c r="Z27" s="161">
        <f t="shared" si="11"/>
        <v>1500</v>
      </c>
      <c r="AA27" s="264">
        <f>'Turn '!J26+Ski!J26+Fotball!J26+Sykkel!J26+'G &amp; T'!J26+TKD!E26+Hovedlaget!J26+Anlegg!J26+Prestmarka!J26+Blilie!J26</f>
        <v>3000</v>
      </c>
      <c r="AB27" s="242">
        <f t="shared" si="12"/>
        <v>3750</v>
      </c>
      <c r="AC27" s="274">
        <f t="shared" si="13"/>
        <v>12000</v>
      </c>
      <c r="AE27" s="4">
        <f t="shared" si="14"/>
        <v>-750</v>
      </c>
      <c r="AF27" s="4"/>
      <c r="AG27" s="4">
        <f t="shared" si="17"/>
        <v>-2250</v>
      </c>
      <c r="AH27" s="230">
        <f t="shared" si="15"/>
        <v>1.1937726420369987E-3</v>
      </c>
      <c r="AI27" s="230">
        <f t="shared" si="16"/>
        <v>2.7872687789595365E-3</v>
      </c>
      <c r="AJ27" s="230">
        <f t="shared" si="16"/>
        <v>8.9372160571981833E-3</v>
      </c>
    </row>
    <row r="28" spans="1:36" ht="18" customHeight="1" x14ac:dyDescent="0.2">
      <c r="A28" s="9">
        <v>6320</v>
      </c>
      <c r="B28" s="9" t="s">
        <v>23</v>
      </c>
      <c r="C28" s="119">
        <f>'Turn '!H27</f>
        <v>0</v>
      </c>
      <c r="D28" s="119">
        <f>'Turn '!K27</f>
        <v>0</v>
      </c>
      <c r="E28" s="119">
        <f>'Turn '!L27</f>
        <v>0</v>
      </c>
      <c r="F28" s="119">
        <f>Ski!H27</f>
        <v>0</v>
      </c>
      <c r="G28" s="119">
        <f>Ski!K27</f>
        <v>0</v>
      </c>
      <c r="H28" s="119">
        <f>Ski!L27</f>
        <v>0</v>
      </c>
      <c r="I28" s="119">
        <f>Fotball!I27</f>
        <v>0</v>
      </c>
      <c r="J28" s="119">
        <f>Fotball!K27</f>
        <v>8191</v>
      </c>
      <c r="K28" s="119">
        <f>Fotball!L27</f>
        <v>10000</v>
      </c>
      <c r="L28" s="119">
        <f>Sykkel!H27</f>
        <v>0</v>
      </c>
      <c r="M28" s="119">
        <f>Sykkel!K27</f>
        <v>0</v>
      </c>
      <c r="N28" s="119">
        <f>Sykkel!L27</f>
        <v>0</v>
      </c>
      <c r="O28" s="119">
        <f>'G &amp; T'!H27</f>
        <v>0</v>
      </c>
      <c r="P28" s="119">
        <f>'G &amp; T'!K27</f>
        <v>0</v>
      </c>
      <c r="Q28" s="119">
        <f>'G &amp; T'!L27</f>
        <v>0</v>
      </c>
      <c r="R28" s="119">
        <f>TKD!D27</f>
        <v>0</v>
      </c>
      <c r="S28" s="119">
        <f>TKD!F27</f>
        <v>0</v>
      </c>
      <c r="T28" s="119">
        <f>TKD!G27</f>
        <v>0</v>
      </c>
      <c r="U28" s="119">
        <f>Hovedlaget!H27+Anlegg!H27+Prestmarka!H27+Blilie!H27</f>
        <v>10881</v>
      </c>
      <c r="V28" s="119">
        <f>Hovedlaget!K27+Anlegg!K27+Prestmarka!K27+Blilie!K27</f>
        <v>10967.34</v>
      </c>
      <c r="W28" s="251">
        <f>Hovedlaget!L27+Anlegg!L27+Prestmarka!L27+Blilie!L27</f>
        <v>15000</v>
      </c>
      <c r="X28" s="263">
        <f>'Turn '!F27+Ski!F27+Fotball!F27+Sykkel!F27+'G &amp; T'!F27+Hovedlaget!F27+Anlegg!F27+Prestmarka!F27+Blilie!F27</f>
        <v>33215</v>
      </c>
      <c r="Y28" s="162">
        <f>'Turn '!E27+Ski!E27+Fotball!E27+Sykkel!E27+'G &amp; T'!E27+Hovedlaget!E27+Anlegg!E27+Blilie!E27+Prestmarka!E27</f>
        <v>28012</v>
      </c>
      <c r="Z28" s="161">
        <f t="shared" si="11"/>
        <v>10881</v>
      </c>
      <c r="AA28" s="264">
        <f>'Turn '!J27+Ski!J27+Fotball!J27+Sykkel!J27+'G &amp; T'!J27+TKD!E27+Hovedlaget!J27+Anlegg!J27+Prestmarka!J27+Blilie!J27</f>
        <v>15000</v>
      </c>
      <c r="AB28" s="242">
        <f t="shared" si="12"/>
        <v>19158.34</v>
      </c>
      <c r="AC28" s="274">
        <f t="shared" si="13"/>
        <v>25000</v>
      </c>
      <c r="AE28" s="4">
        <f t="shared" si="14"/>
        <v>-4158.34</v>
      </c>
      <c r="AF28" s="4"/>
      <c r="AG28" s="4">
        <f t="shared" si="17"/>
        <v>-8277.34</v>
      </c>
      <c r="AH28" s="230">
        <f t="shared" si="15"/>
        <v>8.6596267453363882E-3</v>
      </c>
      <c r="AI28" s="230">
        <f t="shared" si="16"/>
        <v>1.4239851450317774E-2</v>
      </c>
      <c r="AJ28" s="230">
        <f t="shared" si="16"/>
        <v>1.861920011916288E-2</v>
      </c>
    </row>
    <row r="29" spans="1:36" ht="18" customHeight="1" x14ac:dyDescent="0.2">
      <c r="A29" s="9">
        <v>6340</v>
      </c>
      <c r="B29" s="13" t="s">
        <v>41</v>
      </c>
      <c r="C29" s="119">
        <f>'Turn '!H28</f>
        <v>0</v>
      </c>
      <c r="D29" s="119">
        <f>'Turn '!K28</f>
        <v>0</v>
      </c>
      <c r="E29" s="119">
        <f>'Turn '!L28</f>
        <v>0</v>
      </c>
      <c r="F29" s="119">
        <f>Ski!H28</f>
        <v>0</v>
      </c>
      <c r="G29" s="119">
        <f>Ski!K28</f>
        <v>0</v>
      </c>
      <c r="H29" s="119">
        <f>Ski!L28</f>
        <v>0</v>
      </c>
      <c r="I29" s="119">
        <f>Fotball!I28</f>
        <v>0</v>
      </c>
      <c r="J29" s="119">
        <f>Fotball!K28</f>
        <v>0</v>
      </c>
      <c r="K29" s="119">
        <f>Fotball!L28</f>
        <v>0</v>
      </c>
      <c r="L29" s="119">
        <f>Sykkel!H28</f>
        <v>0</v>
      </c>
      <c r="M29" s="119">
        <f>Sykkel!K28</f>
        <v>0</v>
      </c>
      <c r="N29" s="119">
        <f>Sykkel!L28</f>
        <v>0</v>
      </c>
      <c r="O29" s="119">
        <f>'G &amp; T'!H28</f>
        <v>0</v>
      </c>
      <c r="P29" s="119">
        <f>'G &amp; T'!K28</f>
        <v>0</v>
      </c>
      <c r="Q29" s="119">
        <f>'G &amp; T'!L28</f>
        <v>0</v>
      </c>
      <c r="R29" s="119">
        <f>TKD!D28</f>
        <v>0</v>
      </c>
      <c r="S29" s="119">
        <f>TKD!F28</f>
        <v>0</v>
      </c>
      <c r="T29" s="119">
        <f>TKD!G28</f>
        <v>0</v>
      </c>
      <c r="U29" s="119">
        <f>Hovedlaget!H28+Anlegg!H28+Prestmarka!H28+Blilie!H28</f>
        <v>96114.950000000012</v>
      </c>
      <c r="V29" s="119">
        <f>Hovedlaget!K28+Anlegg!K28+Prestmarka!K28+Blilie!K28</f>
        <v>75164.75</v>
      </c>
      <c r="W29" s="251">
        <f>Hovedlaget!L28+Anlegg!L28+Prestmarka!L28+Blilie!L28</f>
        <v>85000</v>
      </c>
      <c r="X29" s="263">
        <f>'Turn '!F28+Ski!F28+Fotball!F28+Sykkel!F28+'G &amp; T'!F28+Hovedlaget!F28+Anlegg!F28+Prestmarka!F28+Blilie!F28</f>
        <v>86251.85</v>
      </c>
      <c r="Y29" s="162">
        <f>'Turn '!E28+Ski!E28+Fotball!E28+Sykkel!E28+'G &amp; T'!E28+Hovedlaget!E28+Anlegg!E28+Blilie!E28+Prestmarka!E28</f>
        <v>86136</v>
      </c>
      <c r="Z29" s="161">
        <f t="shared" si="11"/>
        <v>96114.950000000012</v>
      </c>
      <c r="AA29" s="264">
        <f>'Turn '!J28+Ski!J28+Fotball!J28+Sykkel!J28+'G &amp; T'!J28+TKD!E28+Hovedlaget!J28+Anlegg!J28+Prestmarka!J28+Blilie!J28</f>
        <v>96000</v>
      </c>
      <c r="AB29" s="242">
        <f t="shared" si="12"/>
        <v>75164.75</v>
      </c>
      <c r="AC29" s="274">
        <f t="shared" si="13"/>
        <v>85000</v>
      </c>
      <c r="AE29" s="4">
        <f t="shared" si="14"/>
        <v>20835.25</v>
      </c>
      <c r="AF29" s="4"/>
      <c r="AG29" s="4">
        <f t="shared" si="17"/>
        <v>20950.200000000012</v>
      </c>
      <c r="AH29" s="230">
        <f t="shared" si="15"/>
        <v>7.6492931867169364E-2</v>
      </c>
      <c r="AI29" s="230">
        <f t="shared" si="16"/>
        <v>5.5867829587546353E-2</v>
      </c>
      <c r="AJ29" s="230">
        <f t="shared" si="16"/>
        <v>6.3305280405153791E-2</v>
      </c>
    </row>
    <row r="30" spans="1:36" ht="18" customHeight="1" x14ac:dyDescent="0.2">
      <c r="A30" s="9">
        <v>6320</v>
      </c>
      <c r="B30" s="13" t="s">
        <v>42</v>
      </c>
      <c r="C30" s="119">
        <f>'Turn '!H29</f>
        <v>0</v>
      </c>
      <c r="D30" s="119">
        <f>'Turn '!K29</f>
        <v>0</v>
      </c>
      <c r="E30" s="119">
        <f>'Turn '!L29</f>
        <v>0</v>
      </c>
      <c r="F30" s="119">
        <f>Ski!H29</f>
        <v>0</v>
      </c>
      <c r="G30" s="119">
        <f>Ski!K29</f>
        <v>0</v>
      </c>
      <c r="H30" s="119">
        <f>Ski!L29</f>
        <v>0</v>
      </c>
      <c r="I30" s="119">
        <f>Fotball!I29</f>
        <v>0</v>
      </c>
      <c r="J30" s="119">
        <f>Fotball!K29</f>
        <v>0</v>
      </c>
      <c r="K30" s="119">
        <f>Fotball!L29</f>
        <v>0</v>
      </c>
      <c r="L30" s="119">
        <f>Sykkel!H29</f>
        <v>0</v>
      </c>
      <c r="M30" s="119">
        <f>Sykkel!K29</f>
        <v>0</v>
      </c>
      <c r="N30" s="119">
        <f>Sykkel!L29</f>
        <v>0</v>
      </c>
      <c r="O30" s="119">
        <f>'G &amp; T'!H29</f>
        <v>0</v>
      </c>
      <c r="P30" s="119">
        <f>'G &amp; T'!K29</f>
        <v>0</v>
      </c>
      <c r="Q30" s="119">
        <f>'G &amp; T'!L29</f>
        <v>0</v>
      </c>
      <c r="R30" s="119">
        <f>TKD!D29</f>
        <v>0</v>
      </c>
      <c r="S30" s="119">
        <f>TKD!F29</f>
        <v>0</v>
      </c>
      <c r="T30" s="119">
        <f>TKD!G29</f>
        <v>0</v>
      </c>
      <c r="U30" s="119">
        <f>Hovedlaget!H29+Anlegg!H29+Prestmarka!H29+Blilie!H29</f>
        <v>32749.940000000002</v>
      </c>
      <c r="V30" s="119">
        <f>Hovedlaget!K29+Anlegg!K29+Prestmarka!K29+Blilie!K29</f>
        <v>27224.75</v>
      </c>
      <c r="W30" s="251">
        <f>Hovedlaget!L29+Anlegg!L29+Prestmarka!L29+Blilie!L29</f>
        <v>27000</v>
      </c>
      <c r="X30" s="263">
        <f>'Turn '!F29+Ski!F29+Fotball!F29+Sykkel!F29+'G &amp; T'!F29+Hovedlaget!F29+Anlegg!F29+Prestmarka!F29+Blilie!F29</f>
        <v>13619.9</v>
      </c>
      <c r="Y30" s="162">
        <f>'Turn '!E29+Ski!E29+Fotball!E29+Sykkel!E29+'G &amp; T'!E29+Hovedlaget!E29+Anlegg!E29+Blilie!E29+Prestmarka!E29</f>
        <v>12819</v>
      </c>
      <c r="Z30" s="161">
        <f t="shared" si="11"/>
        <v>32749.940000000002</v>
      </c>
      <c r="AA30" s="264">
        <f>'Turn '!J29+Ski!J29+Fotball!J29+Sykkel!J29+'G &amp; T'!J29+TKD!E29+Hovedlaget!J29+Anlegg!J29+Prestmarka!J29+Blilie!J29</f>
        <v>13000</v>
      </c>
      <c r="AB30" s="242">
        <f t="shared" si="12"/>
        <v>27224.75</v>
      </c>
      <c r="AC30" s="274">
        <f t="shared" si="13"/>
        <v>27000</v>
      </c>
      <c r="AE30" s="4">
        <f t="shared" si="14"/>
        <v>-14224.75</v>
      </c>
      <c r="AF30" s="4"/>
      <c r="AG30" s="4">
        <f t="shared" si="17"/>
        <v>5525.1900000000023</v>
      </c>
      <c r="AH30" s="230">
        <f t="shared" si="15"/>
        <v>2.6063988266902125E-2</v>
      </c>
      <c r="AI30" s="230">
        <f t="shared" si="16"/>
        <v>2.0235385517327637E-2</v>
      </c>
      <c r="AJ30" s="230">
        <f t="shared" si="16"/>
        <v>2.010873612869591E-2</v>
      </c>
    </row>
    <row r="31" spans="1:36" ht="18" customHeight="1" x14ac:dyDescent="0.2">
      <c r="A31" s="9">
        <v>6550</v>
      </c>
      <c r="B31" s="13" t="s">
        <v>40</v>
      </c>
      <c r="C31" s="119">
        <f>'Turn '!H30</f>
        <v>4226.8</v>
      </c>
      <c r="D31" s="119">
        <f>'Turn '!K30</f>
        <v>89319.8</v>
      </c>
      <c r="E31" s="119">
        <f>'Turn '!L30</f>
        <v>15000</v>
      </c>
      <c r="F31" s="119">
        <f>Ski!H30</f>
        <v>35297.449999999997</v>
      </c>
      <c r="G31" s="119">
        <f>Ski!K30</f>
        <v>20095.8</v>
      </c>
      <c r="H31" s="119">
        <f>Ski!L30</f>
        <v>5000</v>
      </c>
      <c r="I31" s="119">
        <f>Fotball!I30</f>
        <v>46000</v>
      </c>
      <c r="J31" s="119">
        <f>Fotball!K30</f>
        <v>44000.2</v>
      </c>
      <c r="K31" s="119">
        <f>Fotball!L30</f>
        <v>43000</v>
      </c>
      <c r="L31" s="119">
        <f>Sykkel!H30</f>
        <v>0</v>
      </c>
      <c r="M31" s="119">
        <f>Sykkel!K30</f>
        <v>0</v>
      </c>
      <c r="N31" s="119">
        <f>Sykkel!L30</f>
        <v>0</v>
      </c>
      <c r="O31" s="119">
        <f>'G &amp; T'!H30</f>
        <v>0</v>
      </c>
      <c r="P31" s="119">
        <f>'G &amp; T'!K30</f>
        <v>0</v>
      </c>
      <c r="Q31" s="119">
        <f>'G &amp; T'!L30</f>
        <v>0</v>
      </c>
      <c r="R31" s="119">
        <f>TKD!D30</f>
        <v>0</v>
      </c>
      <c r="S31" s="119">
        <f>TKD!F30</f>
        <v>27988.959999999999</v>
      </c>
      <c r="T31" s="119">
        <f>TKD!G30</f>
        <v>84000</v>
      </c>
      <c r="U31" s="119">
        <f>Hovedlaget!H30+Anlegg!H30+Prestmarka!H30+Blilie!H30</f>
        <v>13816.58</v>
      </c>
      <c r="V31" s="119">
        <f>Hovedlaget!K30+Anlegg!K30+Prestmarka!K30+Blilie!K30</f>
        <v>4489.2</v>
      </c>
      <c r="W31" s="251">
        <f>Hovedlaget!L30+Anlegg!L30+Prestmarka!L30+Blilie!L30</f>
        <v>33000</v>
      </c>
      <c r="X31" s="263">
        <f>'Turn '!F30+Ski!F30+Fotball!F30+Sykkel!F30+'G &amp; T'!F30+Hovedlaget!F30+Anlegg!F30+Prestmarka!F30+Blilie!F30</f>
        <v>193060.5</v>
      </c>
      <c r="Y31" s="162">
        <f>'Turn '!E30+Ski!E30+Fotball!E30+Sykkel!E30+'G &amp; T'!E30+Hovedlaget!E30+Anlegg!E30+Blilie!E30+Prestmarka!E30</f>
        <v>140501</v>
      </c>
      <c r="Z31" s="161">
        <f t="shared" si="11"/>
        <v>99340.83</v>
      </c>
      <c r="AA31" s="264">
        <f>'Turn '!J30+Ski!J30+Fotball!J30+Sykkel!J30+'G &amp; T'!J30+TKD!E30+Hovedlaget!J30+Anlegg!J30+Prestmarka!J30+Blilie!J30</f>
        <v>214000</v>
      </c>
      <c r="AB31" s="242">
        <f t="shared" si="12"/>
        <v>185893.96</v>
      </c>
      <c r="AC31" s="274">
        <f t="shared" si="13"/>
        <v>180000</v>
      </c>
      <c r="AE31" s="4">
        <f t="shared" si="14"/>
        <v>28106.040000000008</v>
      </c>
      <c r="AF31" s="4"/>
      <c r="AG31" s="4">
        <f t="shared" si="17"/>
        <v>-86553.12999999999</v>
      </c>
      <c r="AH31" s="230">
        <f t="shared" si="15"/>
        <v>7.9060243394165564E-2</v>
      </c>
      <c r="AI31" s="230">
        <f t="shared" si="16"/>
        <v>0.13816971490804078</v>
      </c>
      <c r="AJ31" s="230">
        <f t="shared" si="16"/>
        <v>0.13405824085797274</v>
      </c>
    </row>
    <row r="32" spans="1:36" ht="18" customHeight="1" x14ac:dyDescent="0.2">
      <c r="A32" s="9">
        <v>6600</v>
      </c>
      <c r="B32" s="9" t="s">
        <v>24</v>
      </c>
      <c r="C32" s="119">
        <f>'Turn '!H31</f>
        <v>0</v>
      </c>
      <c r="D32" s="119">
        <f>'Turn '!K31</f>
        <v>0</v>
      </c>
      <c r="E32" s="119">
        <f>'Turn '!L31</f>
        <v>0</v>
      </c>
      <c r="F32" s="119">
        <f>Ski!H31</f>
        <v>0</v>
      </c>
      <c r="G32" s="119">
        <f>Ski!K31</f>
        <v>0</v>
      </c>
      <c r="H32" s="119">
        <f>Ski!L31</f>
        <v>0</v>
      </c>
      <c r="I32" s="119">
        <f>Fotball!I31</f>
        <v>0</v>
      </c>
      <c r="J32" s="119">
        <f>Fotball!K31</f>
        <v>0</v>
      </c>
      <c r="K32" s="119">
        <f>Fotball!L31</f>
        <v>0</v>
      </c>
      <c r="L32" s="119">
        <f>Sykkel!H31</f>
        <v>0</v>
      </c>
      <c r="M32" s="119">
        <f>Sykkel!K31</f>
        <v>0</v>
      </c>
      <c r="N32" s="119">
        <f>Sykkel!L31</f>
        <v>0</v>
      </c>
      <c r="O32" s="119">
        <f>'G &amp; T'!H31</f>
        <v>0</v>
      </c>
      <c r="P32" s="119">
        <f>'G &amp; T'!K31</f>
        <v>0</v>
      </c>
      <c r="Q32" s="119">
        <f>'G &amp; T'!L31</f>
        <v>0</v>
      </c>
      <c r="R32" s="119">
        <f>TKD!D31</f>
        <v>0</v>
      </c>
      <c r="S32" s="119">
        <f>TKD!F31</f>
        <v>0</v>
      </c>
      <c r="T32" s="119">
        <f>TKD!G31</f>
        <v>0</v>
      </c>
      <c r="U32" s="119">
        <f>Hovedlaget!H31+Anlegg!H31+Prestmarka!H31+Blilie!H31</f>
        <v>45340.5</v>
      </c>
      <c r="V32" s="119">
        <f>Hovedlaget!K31+Anlegg!K31+Prestmarka!K31+Blilie!K31</f>
        <v>99784</v>
      </c>
      <c r="W32" s="251">
        <f>Hovedlaget!L31+Anlegg!L31+Prestmarka!L31+Blilie!L31</f>
        <v>90000</v>
      </c>
      <c r="X32" s="263">
        <f>'Turn '!F31+Ski!F31+Fotball!F31+Sykkel!F31+'G &amp; T'!F31+Hovedlaget!F31+Anlegg!F31+Prestmarka!F31+Blilie!F31</f>
        <v>461846.98000000004</v>
      </c>
      <c r="Y32" s="162">
        <f>'Turn '!E31+Ski!E31+Fotball!E31+Sykkel!E31+'G &amp; T'!E31+Hovedlaget!E31+Anlegg!E31+Blilie!E31+Prestmarka!E31</f>
        <v>27531</v>
      </c>
      <c r="Z32" s="161">
        <f t="shared" si="11"/>
        <v>45340.5</v>
      </c>
      <c r="AA32" s="264">
        <f>'Turn '!J31+Ski!J31+Fotball!J31+Sykkel!J31+'G &amp; T'!J31+TKD!E31+Hovedlaget!J31+Anlegg!J31+Prestmarka!J31+Blilie!J31</f>
        <v>65580</v>
      </c>
      <c r="AB32" s="242">
        <f t="shared" si="12"/>
        <v>99784</v>
      </c>
      <c r="AC32" s="274">
        <f t="shared" si="13"/>
        <v>90000</v>
      </c>
      <c r="AE32" s="4">
        <f t="shared" si="14"/>
        <v>-34204</v>
      </c>
      <c r="AF32" s="4"/>
      <c r="AG32" s="4">
        <f t="shared" si="17"/>
        <v>-54443.5</v>
      </c>
      <c r="AH32" s="230">
        <f t="shared" si="15"/>
        <v>3.6084165650852359E-2</v>
      </c>
      <c r="AI32" s="230">
        <f t="shared" si="16"/>
        <v>7.4166620757252902E-2</v>
      </c>
      <c r="AJ32" s="230">
        <f t="shared" si="16"/>
        <v>6.7029120428986372E-2</v>
      </c>
    </row>
    <row r="33" spans="1:36" ht="18" customHeight="1" x14ac:dyDescent="0.2">
      <c r="A33" s="9">
        <v>6620</v>
      </c>
      <c r="B33" s="9" t="s">
        <v>25</v>
      </c>
      <c r="C33" s="119">
        <f>'Turn '!H32</f>
        <v>0</v>
      </c>
      <c r="D33" s="119">
        <f>'Turn '!K32</f>
        <v>0</v>
      </c>
      <c r="E33" s="119">
        <f>'Turn '!L32</f>
        <v>0</v>
      </c>
      <c r="F33" s="119">
        <f>Ski!H32</f>
        <v>0</v>
      </c>
      <c r="G33" s="119">
        <f>Ski!K32</f>
        <v>0</v>
      </c>
      <c r="H33" s="119">
        <f>Ski!L32</f>
        <v>0</v>
      </c>
      <c r="I33" s="119">
        <f>Fotball!I32</f>
        <v>0</v>
      </c>
      <c r="J33" s="119">
        <f>Fotball!K32</f>
        <v>0</v>
      </c>
      <c r="K33" s="119">
        <f>Fotball!L32</f>
        <v>0</v>
      </c>
      <c r="L33" s="119">
        <f>Sykkel!H32</f>
        <v>0</v>
      </c>
      <c r="M33" s="119">
        <f>Sykkel!K32</f>
        <v>0</v>
      </c>
      <c r="N33" s="119">
        <f>Sykkel!L32</f>
        <v>0</v>
      </c>
      <c r="O33" s="119">
        <f>'G &amp; T'!H32</f>
        <v>0</v>
      </c>
      <c r="P33" s="119">
        <f>'G &amp; T'!K32</f>
        <v>0</v>
      </c>
      <c r="Q33" s="119">
        <f>'G &amp; T'!L32</f>
        <v>0</v>
      </c>
      <c r="R33" s="119">
        <f>TKD!D32</f>
        <v>0</v>
      </c>
      <c r="S33" s="119">
        <f>TKD!F32</f>
        <v>0</v>
      </c>
      <c r="T33" s="119">
        <f>TKD!G32</f>
        <v>0</v>
      </c>
      <c r="U33" s="119">
        <f>Hovedlaget!H32+Anlegg!H32+Prestmarka!H32+Blilie!H32</f>
        <v>36662</v>
      </c>
      <c r="V33" s="119">
        <f>Hovedlaget!K32+Anlegg!K32+Prestmarka!K32+Blilie!K32</f>
        <v>60334.5</v>
      </c>
      <c r="W33" s="251">
        <f>Hovedlaget!L32+Anlegg!L32+Prestmarka!L32+Blilie!L32</f>
        <v>45000</v>
      </c>
      <c r="X33" s="263">
        <f>'Turn '!F32+Ski!F32+Fotball!F32+Sykkel!F32+'G &amp; T'!F32+Hovedlaget!F32+Anlegg!F32+Prestmarka!F32+Blilie!F32</f>
        <v>39087</v>
      </c>
      <c r="Y33" s="162">
        <f>'Turn '!E32+Ski!E32+Fotball!E32+Sykkel!E32+'G &amp; T'!E32+Hovedlaget!E32+Anlegg!E32+Blilie!E32+Prestmarka!E32</f>
        <v>21549</v>
      </c>
      <c r="Z33" s="161">
        <f t="shared" si="11"/>
        <v>36662</v>
      </c>
      <c r="AA33" s="264">
        <f>'Turn '!J32+Ski!J32+Fotball!J32+Sykkel!J32+'G &amp; T'!J32+TKD!E32+Hovedlaget!J32+Anlegg!J32+Prestmarka!J32+Blilie!J32</f>
        <v>25000</v>
      </c>
      <c r="AB33" s="242">
        <f t="shared" si="12"/>
        <v>60334.5</v>
      </c>
      <c r="AC33" s="274">
        <f t="shared" si="13"/>
        <v>45000</v>
      </c>
      <c r="AE33" s="4">
        <f t="shared" si="14"/>
        <v>-35334.5</v>
      </c>
      <c r="AF33" s="4"/>
      <c r="AG33" s="4">
        <f t="shared" si="17"/>
        <v>-23672.5</v>
      </c>
      <c r="AH33" s="230">
        <f t="shared" si="15"/>
        <v>2.9177395068240297E-2</v>
      </c>
      <c r="AI33" s="230">
        <f t="shared" si="16"/>
        <v>4.4844924838435773E-2</v>
      </c>
      <c r="AJ33" s="230">
        <f t="shared" si="16"/>
        <v>3.3514560214493186E-2</v>
      </c>
    </row>
    <row r="34" spans="1:36" ht="18" customHeight="1" x14ac:dyDescent="0.2">
      <c r="A34" s="9">
        <v>6630</v>
      </c>
      <c r="B34" s="13" t="s">
        <v>47</v>
      </c>
      <c r="C34" s="119">
        <f>'Turn '!H33</f>
        <v>0</v>
      </c>
      <c r="D34" s="119">
        <f>'Turn '!K33</f>
        <v>0</v>
      </c>
      <c r="E34" s="119">
        <f>'Turn '!L33</f>
        <v>0</v>
      </c>
      <c r="F34" s="119">
        <f>Ski!H33</f>
        <v>0</v>
      </c>
      <c r="G34" s="119">
        <f>Ski!K33</f>
        <v>0</v>
      </c>
      <c r="H34" s="119">
        <f>Ski!L33</f>
        <v>0</v>
      </c>
      <c r="I34" s="119">
        <f>Fotball!I33</f>
        <v>0</v>
      </c>
      <c r="J34" s="119">
        <f>Fotball!K33</f>
        <v>0</v>
      </c>
      <c r="K34" s="119">
        <f>Fotball!L33</f>
        <v>0</v>
      </c>
      <c r="L34" s="119">
        <f>Sykkel!H33</f>
        <v>0</v>
      </c>
      <c r="M34" s="119">
        <f>Sykkel!K33</f>
        <v>0</v>
      </c>
      <c r="N34" s="119">
        <f>Sykkel!L33</f>
        <v>0</v>
      </c>
      <c r="O34" s="119">
        <f>'G &amp; T'!H33</f>
        <v>0</v>
      </c>
      <c r="P34" s="119">
        <f>'G &amp; T'!K33</f>
        <v>0</v>
      </c>
      <c r="Q34" s="119">
        <f>'G &amp; T'!L33</f>
        <v>0</v>
      </c>
      <c r="R34" s="119">
        <f>TKD!D33</f>
        <v>0</v>
      </c>
      <c r="S34" s="119">
        <f>TKD!F33</f>
        <v>0</v>
      </c>
      <c r="T34" s="119">
        <f>TKD!G33</f>
        <v>0</v>
      </c>
      <c r="U34" s="119">
        <f>Hovedlaget!H33+Anlegg!H33+Prestmarka!H33+Blilie!H33</f>
        <v>24169</v>
      </c>
      <c r="V34" s="119">
        <f>Hovedlaget!K33+Anlegg!K33+Prestmarka!K33+Blilie!K33</f>
        <v>17381</v>
      </c>
      <c r="W34" s="251">
        <f>Hovedlaget!L33+Anlegg!L33+Prestmarka!L33+Blilie!L33</f>
        <v>55000</v>
      </c>
      <c r="X34" s="263">
        <f>'Turn '!F33+Ski!F33+Fotball!F33+Sykkel!F33+'G &amp; T'!F33+Hovedlaget!F33+Anlegg!F33+Prestmarka!F33+Blilie!F33</f>
        <v>60822</v>
      </c>
      <c r="Y34" s="162">
        <f>'Turn '!E33+Ski!E33+Fotball!E33+Sykkel!E33+'G &amp; T'!E33+Hovedlaget!E33+Anlegg!E33+Blilie!E33+Prestmarka!E33</f>
        <v>25436</v>
      </c>
      <c r="Z34" s="161">
        <f t="shared" si="11"/>
        <v>24169</v>
      </c>
      <c r="AA34" s="264">
        <f>'Turn '!J33+Ski!J33+Fotball!J33+Sykkel!J33+'G &amp; T'!J33+TKD!E33+Hovedlaget!J33+Anlegg!J33+Prestmarka!J33+Blilie!J33</f>
        <v>26000</v>
      </c>
      <c r="AB34" s="242">
        <f t="shared" si="12"/>
        <v>17381</v>
      </c>
      <c r="AC34" s="274">
        <f t="shared" si="13"/>
        <v>55000</v>
      </c>
      <c r="AE34" s="4">
        <f t="shared" si="14"/>
        <v>8619</v>
      </c>
      <c r="AF34" s="4"/>
      <c r="AG34" s="4">
        <f t="shared" si="17"/>
        <v>6788</v>
      </c>
      <c r="AH34" s="230">
        <f t="shared" si="15"/>
        <v>1.9234860656928147E-2</v>
      </c>
      <c r="AI34" s="230">
        <f t="shared" si="16"/>
        <v>1.2918804972558855E-2</v>
      </c>
      <c r="AJ34" s="230">
        <f t="shared" si="16"/>
        <v>4.0962240262158341E-2</v>
      </c>
    </row>
    <row r="35" spans="1:36" ht="18" customHeight="1" x14ac:dyDescent="0.2">
      <c r="A35" s="9">
        <v>6705</v>
      </c>
      <c r="B35" s="23" t="s">
        <v>105</v>
      </c>
      <c r="C35" s="119">
        <f>'Turn '!H34</f>
        <v>0</v>
      </c>
      <c r="D35" s="119">
        <f>'Turn '!K34</f>
        <v>0</v>
      </c>
      <c r="E35" s="119">
        <f>'Turn '!L34</f>
        <v>0</v>
      </c>
      <c r="F35" s="119">
        <f>Ski!H34</f>
        <v>0</v>
      </c>
      <c r="G35" s="119">
        <f>Ski!K34</f>
        <v>0</v>
      </c>
      <c r="H35" s="119">
        <f>Ski!L34</f>
        <v>0</v>
      </c>
      <c r="I35" s="119">
        <f>Fotball!I34</f>
        <v>0</v>
      </c>
      <c r="J35" s="119">
        <f>Fotball!K34</f>
        <v>0</v>
      </c>
      <c r="K35" s="119">
        <f>Fotball!L34</f>
        <v>0</v>
      </c>
      <c r="L35" s="119">
        <f>Sykkel!H34</f>
        <v>0</v>
      </c>
      <c r="M35" s="119">
        <f>Sykkel!K34</f>
        <v>0</v>
      </c>
      <c r="N35" s="119">
        <f>Sykkel!L34</f>
        <v>0</v>
      </c>
      <c r="O35" s="119">
        <f>'G &amp; T'!H34</f>
        <v>0</v>
      </c>
      <c r="P35" s="119">
        <f>'G &amp; T'!K34</f>
        <v>0</v>
      </c>
      <c r="Q35" s="119">
        <f>'G &amp; T'!L34</f>
        <v>0</v>
      </c>
      <c r="R35" s="119">
        <f>TKD!D34</f>
        <v>0</v>
      </c>
      <c r="S35" s="119">
        <f>TKD!F34</f>
        <v>0</v>
      </c>
      <c r="T35" s="119">
        <f>TKD!G34</f>
        <v>0</v>
      </c>
      <c r="U35" s="119">
        <f>Hovedlaget!H34+Anlegg!H34+Prestmarka!H34+Blilie!H34</f>
        <v>91868.55</v>
      </c>
      <c r="V35" s="119">
        <f>Hovedlaget!K34+Anlegg!K34+Prestmarka!K34+Blilie!K34</f>
        <v>51009</v>
      </c>
      <c r="W35" s="251">
        <f>Hovedlaget!L34+Anlegg!L34+Prestmarka!L34+Blilie!L34</f>
        <v>40000</v>
      </c>
      <c r="X35" s="263">
        <f>'Turn '!F34+Ski!F34+Fotball!F34+Sykkel!F34+'G &amp; T'!F34+Hovedlaget!F34+Anlegg!F34+Prestmarka!F34+Blilie!F34</f>
        <v>66560.87</v>
      </c>
      <c r="Y35" s="162">
        <f>'Turn '!E34+Ski!E34+Fotball!E34+Sykkel!E34+'G &amp; T'!E34+Hovedlaget!E34+Anlegg!E34+Blilie!E34+Prestmarka!E34</f>
        <v>65909.5</v>
      </c>
      <c r="Z35" s="161">
        <f t="shared" si="11"/>
        <v>91868.55</v>
      </c>
      <c r="AA35" s="264">
        <f>'Turn '!J34+Ski!J34+Fotball!J34+Sykkel!J34+'G &amp; T'!J34+TKD!E34+Hovedlaget!J34+Anlegg!J34+Prestmarka!J34+Blilie!J34</f>
        <v>85000</v>
      </c>
      <c r="AB35" s="242">
        <f t="shared" si="12"/>
        <v>51009</v>
      </c>
      <c r="AC35" s="274">
        <f t="shared" si="13"/>
        <v>40000</v>
      </c>
      <c r="AE35" s="4">
        <f t="shared" si="14"/>
        <v>33991</v>
      </c>
      <c r="AF35" s="4"/>
      <c r="AG35" s="4">
        <f t="shared" si="17"/>
        <v>40859.550000000003</v>
      </c>
      <c r="AH35" s="231">
        <f t="shared" si="15"/>
        <v>7.3113441102405419E-2</v>
      </c>
      <c r="AI35" s="231">
        <f t="shared" si="16"/>
        <v>3.7913544838919198E-2</v>
      </c>
      <c r="AJ35" s="231">
        <f t="shared" si="16"/>
        <v>2.9790720190660609E-2</v>
      </c>
    </row>
    <row r="36" spans="1:36" ht="20" customHeight="1" x14ac:dyDescent="0.2">
      <c r="A36" s="9">
        <v>6800</v>
      </c>
      <c r="B36" s="13" t="s">
        <v>43</v>
      </c>
      <c r="C36" s="119">
        <f>'Turn '!H35</f>
        <v>0</v>
      </c>
      <c r="D36" s="119">
        <f>'Turn '!K35</f>
        <v>0</v>
      </c>
      <c r="E36" s="119">
        <f>'Turn '!L35</f>
        <v>0</v>
      </c>
      <c r="F36" s="119">
        <f>Ski!H35</f>
        <v>0</v>
      </c>
      <c r="G36" s="119">
        <f>Ski!K35</f>
        <v>0</v>
      </c>
      <c r="H36" s="119">
        <f>Ski!L35</f>
        <v>0</v>
      </c>
      <c r="I36" s="119">
        <f>Fotball!I35</f>
        <v>1000</v>
      </c>
      <c r="J36" s="119">
        <f>Fotball!K35</f>
        <v>0</v>
      </c>
      <c r="K36" s="119">
        <f>Fotball!L35</f>
        <v>0</v>
      </c>
      <c r="L36" s="119">
        <f>Sykkel!H35</f>
        <v>0</v>
      </c>
      <c r="M36" s="119">
        <f>Sykkel!K35</f>
        <v>0</v>
      </c>
      <c r="N36" s="119">
        <f>Sykkel!L35</f>
        <v>0</v>
      </c>
      <c r="O36" s="119">
        <f>'G &amp; T'!H35</f>
        <v>0</v>
      </c>
      <c r="P36" s="119">
        <f>'G &amp; T'!K35</f>
        <v>0</v>
      </c>
      <c r="Q36" s="119">
        <f>'G &amp; T'!L35</f>
        <v>0</v>
      </c>
      <c r="R36" s="119">
        <f>TKD!D35</f>
        <v>0</v>
      </c>
      <c r="S36" s="119">
        <f>TKD!F35</f>
        <v>0</v>
      </c>
      <c r="T36" s="119">
        <f>TKD!G35</f>
        <v>0</v>
      </c>
      <c r="U36" s="119">
        <f>Hovedlaget!H35+Anlegg!H35+Prestmarka!H35+Blilie!H35</f>
        <v>506.5</v>
      </c>
      <c r="V36" s="119">
        <f>Hovedlaget!K35+Anlegg!K35+Prestmarka!K35+Blilie!K35</f>
        <v>2565.6800000000003</v>
      </c>
      <c r="W36" s="251">
        <f>Hovedlaget!L35+Anlegg!L35+Prestmarka!L35+Blilie!L35</f>
        <v>0</v>
      </c>
      <c r="X36" s="263">
        <f>'Turn '!F35+Ski!F35+Fotball!F35+Sykkel!F35+'G &amp; T'!F35+Hovedlaget!F35+Anlegg!F35+Prestmarka!F35+Blilie!F35</f>
        <v>3454.38</v>
      </c>
      <c r="Y36" s="162">
        <f>'Turn '!E35+Ski!E35+Fotball!E35+Sykkel!E35+'G &amp; T'!E35+Hovedlaget!E35+Anlegg!E35+Blilie!E35+Prestmarka!E35</f>
        <v>2795.5</v>
      </c>
      <c r="Z36" s="161">
        <f t="shared" si="11"/>
        <v>1506.5</v>
      </c>
      <c r="AA36" s="264">
        <f>'Turn '!J35+Ski!J35+Fotball!J35+Sykkel!J35+'G &amp; T'!J35+TKD!E35+Hovedlaget!J35+Anlegg!J35+Prestmarka!J35+Blilie!J35</f>
        <v>0</v>
      </c>
      <c r="AB36" s="242">
        <f t="shared" si="12"/>
        <v>2565.6800000000003</v>
      </c>
      <c r="AC36" s="274">
        <f t="shared" si="13"/>
        <v>0</v>
      </c>
      <c r="AE36" s="4">
        <f t="shared" si="14"/>
        <v>-2565.6800000000003</v>
      </c>
      <c r="AF36" s="4"/>
      <c r="AG36" s="4">
        <f t="shared" si="17"/>
        <v>-1059.1800000000003</v>
      </c>
      <c r="AH36" s="230">
        <f t="shared" si="15"/>
        <v>1.198945656819159E-3</v>
      </c>
      <c r="AI36" s="230">
        <f t="shared" si="16"/>
        <v>1.9069972695469079E-3</v>
      </c>
      <c r="AJ36" s="230">
        <f t="shared" si="16"/>
        <v>0</v>
      </c>
    </row>
    <row r="37" spans="1:36" ht="20" customHeight="1" x14ac:dyDescent="0.2">
      <c r="A37" s="9">
        <v>6840</v>
      </c>
      <c r="B37" s="13" t="s">
        <v>26</v>
      </c>
      <c r="C37" s="119">
        <f>'Turn '!H36</f>
        <v>0</v>
      </c>
      <c r="D37" s="119">
        <f>'Turn '!K36</f>
        <v>0</v>
      </c>
      <c r="E37" s="119">
        <f>'Turn '!L36</f>
        <v>1000</v>
      </c>
      <c r="F37" s="119">
        <f>Ski!H36</f>
        <v>0</v>
      </c>
      <c r="G37" s="119">
        <f>Ski!K36</f>
        <v>0</v>
      </c>
      <c r="H37" s="119">
        <f>Ski!L36</f>
        <v>0</v>
      </c>
      <c r="I37" s="119">
        <f>Fotball!I36</f>
        <v>0</v>
      </c>
      <c r="J37" s="119">
        <f>Fotball!K36</f>
        <v>0</v>
      </c>
      <c r="K37" s="119">
        <f>Fotball!L36</f>
        <v>0</v>
      </c>
      <c r="L37" s="119">
        <f>Sykkel!H36</f>
        <v>0</v>
      </c>
      <c r="M37" s="119">
        <f>Sykkel!K36</f>
        <v>0</v>
      </c>
      <c r="N37" s="119">
        <f>Sykkel!L36</f>
        <v>0</v>
      </c>
      <c r="O37" s="119">
        <f>'G &amp; T'!H36</f>
        <v>0</v>
      </c>
      <c r="P37" s="119">
        <f>'G &amp; T'!K36</f>
        <v>0</v>
      </c>
      <c r="Q37" s="119">
        <f>'G &amp; T'!L36</f>
        <v>0</v>
      </c>
      <c r="R37" s="119">
        <f>TKD!D36</f>
        <v>0</v>
      </c>
      <c r="S37" s="119">
        <f>TKD!F36</f>
        <v>0</v>
      </c>
      <c r="T37" s="119">
        <f>TKD!G36</f>
        <v>0</v>
      </c>
      <c r="U37" s="119">
        <f>Hovedlaget!H36+Anlegg!H36+Prestmarka!H36+Blilie!H36</f>
        <v>0</v>
      </c>
      <c r="V37" s="119">
        <f>Hovedlaget!K36+Anlegg!K36+Prestmarka!K36+Blilie!K36</f>
        <v>0</v>
      </c>
      <c r="W37" s="251">
        <f>Hovedlaget!L36+Anlegg!L36+Prestmarka!L36+Blilie!L36</f>
        <v>0</v>
      </c>
      <c r="X37" s="263">
        <f>'Turn '!F36+Ski!F36+Fotball!F36+Sykkel!F36+'G &amp; T'!F36+Hovedlaget!F36+Anlegg!F36+Prestmarka!F36+Blilie!F36</f>
        <v>0</v>
      </c>
      <c r="Y37" s="162">
        <f>'Turn '!E36+Ski!E36+Fotball!E36+Sykkel!E36+'G &amp; T'!E36+Hovedlaget!E36+Anlegg!E36+Blilie!E36+Prestmarka!E36</f>
        <v>0</v>
      </c>
      <c r="Z37" s="161">
        <f t="shared" si="11"/>
        <v>0</v>
      </c>
      <c r="AA37" s="264">
        <f>'Turn '!J36+Ski!J36+Fotball!J36+Sykkel!J36+'G &amp; T'!J36+TKD!E36+Hovedlaget!J36+Anlegg!J36+Prestmarka!J36+Blilie!J36</f>
        <v>0</v>
      </c>
      <c r="AB37" s="242">
        <f t="shared" si="12"/>
        <v>0</v>
      </c>
      <c r="AC37" s="274">
        <f t="shared" si="13"/>
        <v>1000</v>
      </c>
      <c r="AE37" s="4">
        <f t="shared" si="14"/>
        <v>0</v>
      </c>
      <c r="AF37" s="4"/>
      <c r="AG37" s="4">
        <f t="shared" si="17"/>
        <v>0</v>
      </c>
      <c r="AH37" s="230">
        <f t="shared" si="15"/>
        <v>0</v>
      </c>
      <c r="AI37" s="230">
        <f t="shared" si="16"/>
        <v>0</v>
      </c>
      <c r="AJ37" s="230">
        <f t="shared" si="16"/>
        <v>7.4476800476651523E-4</v>
      </c>
    </row>
    <row r="38" spans="1:36" ht="20" customHeight="1" x14ac:dyDescent="0.2">
      <c r="A38" s="9">
        <v>6860</v>
      </c>
      <c r="B38" s="9" t="s">
        <v>27</v>
      </c>
      <c r="C38" s="119">
        <f>'Turn '!H37</f>
        <v>2585.39</v>
      </c>
      <c r="D38" s="119">
        <f>'Turn '!K37</f>
        <v>0</v>
      </c>
      <c r="E38" s="119">
        <f>'Turn '!L37</f>
        <v>2500</v>
      </c>
      <c r="F38" s="119">
        <f>Ski!H37</f>
        <v>0</v>
      </c>
      <c r="G38" s="119">
        <f>Ski!K37</f>
        <v>0</v>
      </c>
      <c r="H38" s="119">
        <f>Ski!L37</f>
        <v>0</v>
      </c>
      <c r="I38" s="119">
        <f>Fotball!I37</f>
        <v>14500</v>
      </c>
      <c r="J38" s="119">
        <f>Fotball!K37</f>
        <v>1419.5</v>
      </c>
      <c r="K38" s="119">
        <f>Fotball!L37</f>
        <v>1000</v>
      </c>
      <c r="L38" s="119">
        <f>Sykkel!H37</f>
        <v>0</v>
      </c>
      <c r="M38" s="119">
        <f>Sykkel!K37</f>
        <v>0</v>
      </c>
      <c r="N38" s="119">
        <f>Sykkel!L37</f>
        <v>0</v>
      </c>
      <c r="O38" s="119">
        <f>'G &amp; T'!H37</f>
        <v>0</v>
      </c>
      <c r="P38" s="119">
        <f>'G &amp; T'!K37</f>
        <v>0</v>
      </c>
      <c r="Q38" s="119">
        <f>'G &amp; T'!L37</f>
        <v>0</v>
      </c>
      <c r="R38" s="119">
        <f>TKD!D37</f>
        <v>0</v>
      </c>
      <c r="S38" s="119">
        <f>TKD!F37</f>
        <v>0</v>
      </c>
      <c r="T38" s="119">
        <f>TKD!G37</f>
        <v>0</v>
      </c>
      <c r="U38" s="119">
        <f>Hovedlaget!H37+Anlegg!H37+Prestmarka!H37+Blilie!H37</f>
        <v>537.09</v>
      </c>
      <c r="V38" s="119">
        <f>Hovedlaget!K37+Anlegg!K37+Prestmarka!K37+Blilie!K37</f>
        <v>7071.06</v>
      </c>
      <c r="W38" s="251">
        <f>Hovedlaget!L37+Anlegg!L37+Prestmarka!L37+Blilie!L37</f>
        <v>0</v>
      </c>
      <c r="X38" s="263">
        <f>'Turn '!F37+Ski!F37+Fotball!F37+Sykkel!F37+'G &amp; T'!F37+Hovedlaget!F37+Anlegg!F37+Prestmarka!F37+Blilie!F37</f>
        <v>2166</v>
      </c>
      <c r="Y38" s="162">
        <f>'Turn '!E37+Ski!E37+Fotball!E37+Sykkel!E37+'G &amp; T'!E37+Hovedlaget!E37+Anlegg!E37+Blilie!E37+Prestmarka!E37</f>
        <v>8213.5</v>
      </c>
      <c r="Z38" s="161">
        <f t="shared" si="11"/>
        <v>17622.48</v>
      </c>
      <c r="AA38" s="264">
        <f>'Turn '!J37+Ski!J37+Fotball!J37+Sykkel!J37+'G &amp; T'!J37+TKD!E37+Hovedlaget!J37+Anlegg!J37+Prestmarka!J37+Blilie!J37</f>
        <v>13500</v>
      </c>
      <c r="AB38" s="242">
        <f t="shared" si="12"/>
        <v>8490.5600000000013</v>
      </c>
      <c r="AC38" s="274">
        <f t="shared" si="13"/>
        <v>3500</v>
      </c>
      <c r="AE38" s="4">
        <f t="shared" si="14"/>
        <v>5009.4399999999987</v>
      </c>
      <c r="AF38" s="4"/>
      <c r="AG38" s="4">
        <f t="shared" si="17"/>
        <v>9131.9199999999983</v>
      </c>
      <c r="AH38" s="230">
        <f t="shared" si="15"/>
        <v>1.4024823005896112E-2</v>
      </c>
      <c r="AI38" s="230">
        <f t="shared" si="16"/>
        <v>6.3107927477020495E-3</v>
      </c>
      <c r="AJ38" s="230">
        <f t="shared" si="16"/>
        <v>2.6066880166828034E-3</v>
      </c>
    </row>
    <row r="39" spans="1:36" ht="20" customHeight="1" x14ac:dyDescent="0.2">
      <c r="A39" s="9">
        <v>6900</v>
      </c>
      <c r="B39" s="11" t="s">
        <v>44</v>
      </c>
      <c r="C39" s="119">
        <f>'Turn '!H38</f>
        <v>0</v>
      </c>
      <c r="D39" s="119">
        <f>'Turn '!K38</f>
        <v>0</v>
      </c>
      <c r="E39" s="119">
        <f>'Turn '!L38</f>
        <v>0</v>
      </c>
      <c r="F39" s="119">
        <f>Ski!H38</f>
        <v>0</v>
      </c>
      <c r="G39" s="119">
        <f>Ski!K38</f>
        <v>0</v>
      </c>
      <c r="H39" s="119">
        <f>Ski!L38</f>
        <v>0</v>
      </c>
      <c r="I39" s="119">
        <f>Fotball!I38</f>
        <v>0</v>
      </c>
      <c r="J39" s="119">
        <f>Fotball!K38</f>
        <v>0</v>
      </c>
      <c r="K39" s="119">
        <f>Fotball!L38</f>
        <v>0</v>
      </c>
      <c r="L39" s="119">
        <f>Sykkel!H38</f>
        <v>0</v>
      </c>
      <c r="M39" s="119">
        <f>Sykkel!K38</f>
        <v>0</v>
      </c>
      <c r="N39" s="119">
        <f>Sykkel!L38</f>
        <v>0</v>
      </c>
      <c r="O39" s="119">
        <f>'G &amp; T'!H38</f>
        <v>0</v>
      </c>
      <c r="P39" s="119">
        <f>'G &amp; T'!K38</f>
        <v>0</v>
      </c>
      <c r="Q39" s="119">
        <f>'G &amp; T'!L38</f>
        <v>0</v>
      </c>
      <c r="R39" s="119">
        <f>TKD!D38</f>
        <v>0</v>
      </c>
      <c r="S39" s="119">
        <f>TKD!F38</f>
        <v>0</v>
      </c>
      <c r="T39" s="119">
        <f>TKD!G38</f>
        <v>0</v>
      </c>
      <c r="U39" s="119">
        <f>Hovedlaget!H38+Anlegg!H38+Prestmarka!H38+Blilie!H38</f>
        <v>1059.81</v>
      </c>
      <c r="V39" s="119">
        <f>Hovedlaget!K38+Anlegg!K38+Prestmarka!K38+Blilie!K38</f>
        <v>2674</v>
      </c>
      <c r="W39" s="251">
        <f>Hovedlaget!L38+Anlegg!L38+Prestmarka!L38+Blilie!L38</f>
        <v>3000</v>
      </c>
      <c r="X39" s="263">
        <f>'Turn '!F38+Ski!F38+Fotball!F38+Sykkel!F38+'G &amp; T'!F38+Hovedlaget!F38+Anlegg!F38+Prestmarka!F38+Blilie!F38</f>
        <v>1000</v>
      </c>
      <c r="Y39" s="162">
        <f>'Turn '!E38+Ski!E38+Fotball!E38+Sykkel!E38+'G &amp; T'!E38+Hovedlaget!E38+Anlegg!E38+Blilie!E38+Prestmarka!E38</f>
        <v>0</v>
      </c>
      <c r="Z39" s="161">
        <f t="shared" si="11"/>
        <v>1059.81</v>
      </c>
      <c r="AA39" s="264">
        <f>'Turn '!J38+Ski!J38+Fotball!J38+Sykkel!J38+'G &amp; T'!J38+TKD!E38+Hovedlaget!J38+Anlegg!J38+Prestmarka!J38+Blilie!J38</f>
        <v>0</v>
      </c>
      <c r="AB39" s="242">
        <f t="shared" si="12"/>
        <v>2674</v>
      </c>
      <c r="AC39" s="274">
        <f t="shared" si="13"/>
        <v>3000</v>
      </c>
      <c r="AE39" s="4">
        <f t="shared" si="14"/>
        <v>-2674</v>
      </c>
      <c r="AF39" s="4"/>
      <c r="AG39" s="4">
        <f t="shared" si="17"/>
        <v>-1614.19</v>
      </c>
      <c r="AH39" s="230">
        <f t="shared" si="15"/>
        <v>8.4344812250482107E-4</v>
      </c>
      <c r="AI39" s="230">
        <f t="shared" si="16"/>
        <v>1.9875084573167468E-3</v>
      </c>
      <c r="AJ39" s="230">
        <f t="shared" si="16"/>
        <v>2.2343040142995458E-3</v>
      </c>
    </row>
    <row r="40" spans="1:36" ht="20" customHeight="1" x14ac:dyDescent="0.2">
      <c r="A40" s="9">
        <v>6940</v>
      </c>
      <c r="B40" s="13" t="s">
        <v>29</v>
      </c>
      <c r="C40" s="119">
        <f>'Turn '!H39</f>
        <v>0</v>
      </c>
      <c r="D40" s="119">
        <f>'Turn '!K39</f>
        <v>0</v>
      </c>
      <c r="E40" s="119">
        <f>'Turn '!L39</f>
        <v>0</v>
      </c>
      <c r="F40" s="119">
        <f>Ski!H39</f>
        <v>0</v>
      </c>
      <c r="G40" s="119">
        <f>Ski!K39</f>
        <v>0</v>
      </c>
      <c r="H40" s="119">
        <f>Ski!L39</f>
        <v>0</v>
      </c>
      <c r="I40" s="119">
        <f>Fotball!I39</f>
        <v>0</v>
      </c>
      <c r="J40" s="119">
        <f>Fotball!K39</f>
        <v>0</v>
      </c>
      <c r="K40" s="119">
        <f>Fotball!L39</f>
        <v>0</v>
      </c>
      <c r="L40" s="119">
        <f>Sykkel!H39</f>
        <v>0</v>
      </c>
      <c r="M40" s="119">
        <f>Sykkel!K39</f>
        <v>0</v>
      </c>
      <c r="N40" s="119">
        <f>Sykkel!L39</f>
        <v>0</v>
      </c>
      <c r="O40" s="119">
        <f>'G &amp; T'!H39</f>
        <v>0</v>
      </c>
      <c r="P40" s="119">
        <f>'G &amp; T'!K39</f>
        <v>0</v>
      </c>
      <c r="Q40" s="119">
        <f>'G &amp; T'!L39</f>
        <v>0</v>
      </c>
      <c r="R40" s="119">
        <f>TKD!D39</f>
        <v>0</v>
      </c>
      <c r="S40" s="119">
        <f>TKD!F39</f>
        <v>0</v>
      </c>
      <c r="T40" s="119">
        <f>TKD!G39</f>
        <v>0</v>
      </c>
      <c r="U40" s="119">
        <f>Hovedlaget!H39+Anlegg!H39+Prestmarka!H39+Blilie!H39</f>
        <v>2047.45</v>
      </c>
      <c r="V40" s="119">
        <f>Hovedlaget!K39+Anlegg!K39+Prestmarka!K39+Blilie!K39</f>
        <v>1092</v>
      </c>
      <c r="W40" s="251">
        <f>Hovedlaget!L39+Anlegg!L39+Prestmarka!L39+Blilie!L39</f>
        <v>2000</v>
      </c>
      <c r="X40" s="263">
        <f>'Turn '!F39+Ski!F39+Fotball!F39+Sykkel!F39+'G &amp; T'!F39+Hovedlaget!F39+Anlegg!F39+Prestmarka!F39+Blilie!F39</f>
        <v>1625.75</v>
      </c>
      <c r="Y40" s="162">
        <f>'Turn '!E39+Ski!E39+Fotball!E39+Sykkel!E39+'G &amp; T'!E39+Hovedlaget!E39+Anlegg!E39+Blilie!E39+Prestmarka!E39</f>
        <v>1277</v>
      </c>
      <c r="Z40" s="161">
        <f t="shared" si="11"/>
        <v>2047.45</v>
      </c>
      <c r="AA40" s="264">
        <f>'Turn '!J39+Ski!J39+Fotball!J39+Sykkel!J39+'G &amp; T'!J39+TKD!E39+Hovedlaget!J39+Anlegg!J39+Prestmarka!J39+Blilie!J39</f>
        <v>2000</v>
      </c>
      <c r="AB40" s="242">
        <f t="shared" si="12"/>
        <v>1092</v>
      </c>
      <c r="AC40" s="274">
        <f t="shared" si="13"/>
        <v>2000</v>
      </c>
      <c r="AE40" s="4">
        <f t="shared" si="14"/>
        <v>908</v>
      </c>
      <c r="AF40" s="4"/>
      <c r="AG40" s="4">
        <f t="shared" si="17"/>
        <v>955.45</v>
      </c>
      <c r="AH40" s="230">
        <f t="shared" si="15"/>
        <v>1.6294598639591022E-3</v>
      </c>
      <c r="AI40" s="230">
        <f t="shared" si="16"/>
        <v>8.1165266843301711E-4</v>
      </c>
      <c r="AJ40" s="230">
        <f t="shared" si="16"/>
        <v>1.4895360095330305E-3</v>
      </c>
    </row>
    <row r="41" spans="1:36" ht="20" customHeight="1" x14ac:dyDescent="0.2">
      <c r="A41" s="9">
        <v>7000</v>
      </c>
      <c r="B41" s="13" t="s">
        <v>48</v>
      </c>
      <c r="C41" s="119">
        <f>'Turn '!H40</f>
        <v>0</v>
      </c>
      <c r="D41" s="119">
        <f>'Turn '!K40</f>
        <v>0</v>
      </c>
      <c r="E41" s="119">
        <f>'Turn '!L40</f>
        <v>0</v>
      </c>
      <c r="F41" s="119">
        <f>Ski!H40</f>
        <v>0</v>
      </c>
      <c r="G41" s="119">
        <f>Ski!K40</f>
        <v>0</v>
      </c>
      <c r="H41" s="119">
        <f>Ski!L40</f>
        <v>0</v>
      </c>
      <c r="I41" s="119">
        <f>Fotball!I40</f>
        <v>0</v>
      </c>
      <c r="J41" s="119">
        <f>Fotball!K40</f>
        <v>0</v>
      </c>
      <c r="K41" s="119">
        <f>Fotball!L40</f>
        <v>0</v>
      </c>
      <c r="L41" s="119">
        <f>Sykkel!H40</f>
        <v>0</v>
      </c>
      <c r="M41" s="119">
        <f>Sykkel!K40</f>
        <v>0</v>
      </c>
      <c r="N41" s="119">
        <f>Sykkel!L40</f>
        <v>0</v>
      </c>
      <c r="O41" s="119">
        <f>'G &amp; T'!H40</f>
        <v>0</v>
      </c>
      <c r="P41" s="119">
        <f>'G &amp; T'!K40</f>
        <v>0</v>
      </c>
      <c r="Q41" s="119">
        <f>'G &amp; T'!L40</f>
        <v>0</v>
      </c>
      <c r="R41" s="119">
        <f>TKD!D40</f>
        <v>0</v>
      </c>
      <c r="S41" s="119">
        <f>TKD!F40</f>
        <v>0</v>
      </c>
      <c r="T41" s="119">
        <f>TKD!G40</f>
        <v>0</v>
      </c>
      <c r="U41" s="119">
        <f>Hovedlaget!H40+Anlegg!H40+Prestmarka!H40+Blilie!H40</f>
        <v>13058.65</v>
      </c>
      <c r="V41" s="119">
        <f>Hovedlaget!K40+Anlegg!K40+Prestmarka!K40+Blilie!K40</f>
        <v>12559.570000000002</v>
      </c>
      <c r="W41" s="251">
        <f>Hovedlaget!L40+Anlegg!L40+Prestmarka!L40+Blilie!L40</f>
        <v>15000</v>
      </c>
      <c r="X41" s="263">
        <f>'Turn '!F40+Ski!F40+Fotball!F40+Sykkel!F40+'G &amp; T'!F40+Hovedlaget!F40+Anlegg!F40+Prestmarka!F40+Blilie!F40</f>
        <v>15194.23</v>
      </c>
      <c r="Y41" s="162">
        <f>'Turn '!E40+Ski!E40+Fotball!E40+Sykkel!E40+'G &amp; T'!E40+Hovedlaget!E40+Anlegg!E40+Blilie!E40+Prestmarka!E40</f>
        <v>20888</v>
      </c>
      <c r="Z41" s="161">
        <f t="shared" si="11"/>
        <v>13058.65</v>
      </c>
      <c r="AA41" s="264">
        <f>'Turn '!J40+Ski!J40+Fotball!J40+Sykkel!J40+'G &amp; T'!J40+TKD!E40+Hovedlaget!J40+Anlegg!J40+Prestmarka!J40+Blilie!J40</f>
        <v>12000</v>
      </c>
      <c r="AB41" s="242">
        <f t="shared" si="12"/>
        <v>12559.570000000002</v>
      </c>
      <c r="AC41" s="274">
        <f t="shared" si="13"/>
        <v>15000</v>
      </c>
      <c r="AE41" s="4">
        <f t="shared" si="14"/>
        <v>-559.57000000000153</v>
      </c>
      <c r="AF41" s="4"/>
      <c r="AG41" s="4">
        <f t="shared" si="17"/>
        <v>499.07999999999811</v>
      </c>
      <c r="AH41" s="230">
        <f t="shared" si="15"/>
        <v>1.0392706074624301E-2</v>
      </c>
      <c r="AI41" s="230">
        <f t="shared" si="16"/>
        <v>9.3351726235084889E-3</v>
      </c>
      <c r="AJ41" s="230">
        <f t="shared" si="16"/>
        <v>1.1171520071497729E-2</v>
      </c>
    </row>
    <row r="42" spans="1:36" ht="20" customHeight="1" x14ac:dyDescent="0.2">
      <c r="A42" s="9">
        <v>7140</v>
      </c>
      <c r="B42" s="13" t="s">
        <v>88</v>
      </c>
      <c r="C42" s="119">
        <f>'Turn '!H41</f>
        <v>1141.3</v>
      </c>
      <c r="D42" s="119">
        <f>'Turn '!K41</f>
        <v>996</v>
      </c>
      <c r="E42" s="119">
        <f>'Turn '!L41</f>
        <v>0</v>
      </c>
      <c r="F42" s="119">
        <f>Ski!H41</f>
        <v>0</v>
      </c>
      <c r="G42" s="119">
        <f>Ski!K41</f>
        <v>0</v>
      </c>
      <c r="H42" s="119">
        <f>Ski!L41</f>
        <v>0</v>
      </c>
      <c r="I42" s="119">
        <f>Fotball!I41</f>
        <v>30000</v>
      </c>
      <c r="J42" s="119">
        <f>Fotball!K41</f>
        <v>53159.8</v>
      </c>
      <c r="K42" s="119">
        <f>Fotball!L41</f>
        <v>55000</v>
      </c>
      <c r="L42" s="119">
        <f>Sykkel!H41</f>
        <v>0</v>
      </c>
      <c r="M42" s="119">
        <f>Sykkel!K41</f>
        <v>0</v>
      </c>
      <c r="N42" s="119">
        <f>Sykkel!L41</f>
        <v>0</v>
      </c>
      <c r="O42" s="119">
        <f>'G &amp; T'!H41</f>
        <v>0</v>
      </c>
      <c r="P42" s="119">
        <f>'G &amp; T'!K41</f>
        <v>0</v>
      </c>
      <c r="Q42" s="119">
        <f>'G &amp; T'!L41</f>
        <v>0</v>
      </c>
      <c r="R42" s="119">
        <f>TKD!D41</f>
        <v>0</v>
      </c>
      <c r="S42" s="119">
        <f>TKD!F41</f>
        <v>0</v>
      </c>
      <c r="T42" s="119">
        <f>TKD!G41</f>
        <v>3000</v>
      </c>
      <c r="U42" s="119">
        <f>Hovedlaget!H41+Anlegg!H41+Prestmarka!H41+Blilie!H41</f>
        <v>0</v>
      </c>
      <c r="V42" s="119">
        <f>Hovedlaget!K41+Anlegg!K41+Prestmarka!K41+Blilie!K41</f>
        <v>0</v>
      </c>
      <c r="W42" s="251">
        <f>Hovedlaget!L41+Anlegg!L41+Prestmarka!L41+Blilie!L41</f>
        <v>0</v>
      </c>
      <c r="X42" s="263">
        <f>'Turn '!F41+Ski!F41+Fotball!F41+Sykkel!F41+'G &amp; T'!F41+Hovedlaget!F41+Anlegg!F41+Prestmarka!F41+Blilie!F41</f>
        <v>75198</v>
      </c>
      <c r="Y42" s="162">
        <f>'Turn '!E41+Ski!E41+Fotball!E41+Sykkel!E41+'G &amp; T'!E41+Hovedlaget!E41+Anlegg!E41+Blilie!E41+Prestmarka!E41</f>
        <v>39441</v>
      </c>
      <c r="Z42" s="161">
        <f t="shared" si="11"/>
        <v>31141.3</v>
      </c>
      <c r="AA42" s="264">
        <f>'Turn '!J41+Ski!J41+Fotball!J41+Sykkel!J41+'G &amp; T'!J41+TKD!E41+Hovedlaget!J41+Anlegg!J41+Prestmarka!J41+Blilie!J41</f>
        <v>20000</v>
      </c>
      <c r="AB42" s="242">
        <f t="shared" si="12"/>
        <v>54155.8</v>
      </c>
      <c r="AC42" s="274">
        <f t="shared" si="13"/>
        <v>58000</v>
      </c>
      <c r="AE42" s="4">
        <f t="shared" si="14"/>
        <v>-34155.800000000003</v>
      </c>
      <c r="AF42" s="4"/>
      <c r="AG42" s="4">
        <f t="shared" si="17"/>
        <v>-23014.500000000004</v>
      </c>
      <c r="AH42" s="230">
        <f t="shared" si="15"/>
        <v>2.4783754651644525E-2</v>
      </c>
      <c r="AI42" s="230">
        <f t="shared" si="16"/>
        <v>4.025247214388717E-2</v>
      </c>
      <c r="AJ42" s="230">
        <f t="shared" si="16"/>
        <v>4.3196544276457881E-2</v>
      </c>
    </row>
    <row r="43" spans="1:36" ht="20" customHeight="1" x14ac:dyDescent="0.2">
      <c r="A43" s="9">
        <v>7320</v>
      </c>
      <c r="B43" s="23" t="s">
        <v>30</v>
      </c>
      <c r="C43" s="119">
        <f>'Turn '!H42</f>
        <v>0</v>
      </c>
      <c r="D43" s="119">
        <f>'Turn '!K42</f>
        <v>0</v>
      </c>
      <c r="E43" s="119">
        <f>'Turn '!L42</f>
        <v>0</v>
      </c>
      <c r="F43" s="119">
        <f>Ski!H42</f>
        <v>0</v>
      </c>
      <c r="G43" s="119">
        <f>Ski!K42</f>
        <v>0</v>
      </c>
      <c r="H43" s="119">
        <f>Ski!L42</f>
        <v>0</v>
      </c>
      <c r="I43" s="119">
        <f>Fotball!I42</f>
        <v>0</v>
      </c>
      <c r="J43" s="119">
        <f>Fotball!K42</f>
        <v>0</v>
      </c>
      <c r="K43" s="119">
        <f>Fotball!L42</f>
        <v>0</v>
      </c>
      <c r="L43" s="119">
        <f>Sykkel!H42</f>
        <v>0</v>
      </c>
      <c r="M43" s="119">
        <f>Sykkel!K42</f>
        <v>0</v>
      </c>
      <c r="N43" s="119">
        <f>Sykkel!L42</f>
        <v>0</v>
      </c>
      <c r="O43" s="119">
        <f>'G &amp; T'!H42</f>
        <v>0</v>
      </c>
      <c r="P43" s="119">
        <f>'G &amp; T'!K42</f>
        <v>0</v>
      </c>
      <c r="Q43" s="119">
        <f>'G &amp; T'!L42</f>
        <v>0</v>
      </c>
      <c r="R43" s="119">
        <f>TKD!D42</f>
        <v>0</v>
      </c>
      <c r="S43" s="119">
        <f>TKD!F42</f>
        <v>0</v>
      </c>
      <c r="T43" s="119">
        <f>TKD!G42</f>
        <v>0</v>
      </c>
      <c r="U43" s="119">
        <f>Hovedlaget!H42+Anlegg!H42+Prestmarka!H42+Blilie!H42</f>
        <v>16277.5</v>
      </c>
      <c r="V43" s="119">
        <f>Hovedlaget!K42+Anlegg!K42+Prestmarka!K42+Blilie!K42</f>
        <v>1077.5</v>
      </c>
      <c r="W43" s="251">
        <f>Hovedlaget!L42+Anlegg!L42+Prestmarka!L42+Blilie!L42</f>
        <v>1000</v>
      </c>
      <c r="X43" s="263">
        <f>'Turn '!F42+Ski!F42+Fotball!F42+Sykkel!F42+'G &amp; T'!F42+Hovedlaget!F42+Anlegg!F42+Prestmarka!F42+Blilie!F42</f>
        <v>0</v>
      </c>
      <c r="Y43" s="162">
        <f>'Turn '!E42+Ski!E42+Fotball!E42+Sykkel!E42+'G &amp; T'!E42+Hovedlaget!E42+Anlegg!E42+Blilie!E42+Prestmarka!E42</f>
        <v>1024</v>
      </c>
      <c r="Z43" s="161">
        <f t="shared" si="11"/>
        <v>16277.5</v>
      </c>
      <c r="AA43" s="264">
        <f>'Turn '!J42+Ski!J42+Fotball!J42+Sykkel!J42+'G &amp; T'!J42+TKD!E42+Hovedlaget!J42+Anlegg!J42+Prestmarka!J42+Blilie!J42</f>
        <v>2000</v>
      </c>
      <c r="AB43" s="242">
        <f t="shared" si="12"/>
        <v>1077.5</v>
      </c>
      <c r="AC43" s="274">
        <f t="shared" si="13"/>
        <v>1000</v>
      </c>
      <c r="AE43" s="4">
        <f t="shared" si="14"/>
        <v>922.5</v>
      </c>
      <c r="AF43" s="4"/>
      <c r="AG43" s="4">
        <f t="shared" si="17"/>
        <v>15200</v>
      </c>
      <c r="AH43" s="230">
        <f t="shared" si="15"/>
        <v>1.2954422787171498E-2</v>
      </c>
      <c r="AI43" s="230">
        <f t="shared" si="16"/>
        <v>8.0087522915437347E-4</v>
      </c>
      <c r="AJ43" s="230">
        <f t="shared" si="16"/>
        <v>7.4476800476651523E-4</v>
      </c>
    </row>
    <row r="44" spans="1:36" ht="20" customHeight="1" x14ac:dyDescent="0.2">
      <c r="A44" s="9">
        <v>7400</v>
      </c>
      <c r="B44" s="9" t="s">
        <v>31</v>
      </c>
      <c r="C44" s="119">
        <f>'Turn '!H43</f>
        <v>11970</v>
      </c>
      <c r="D44" s="119">
        <f>'Turn '!K43</f>
        <v>4040</v>
      </c>
      <c r="E44" s="119">
        <f>'Turn '!L43</f>
        <v>16000</v>
      </c>
      <c r="F44" s="119">
        <f>Ski!H43</f>
        <v>4675</v>
      </c>
      <c r="G44" s="119">
        <f>Ski!K43</f>
        <v>4460</v>
      </c>
      <c r="H44" s="119">
        <f>Ski!L43</f>
        <v>2000</v>
      </c>
      <c r="I44" s="119">
        <f>Fotball!I43</f>
        <v>54199</v>
      </c>
      <c r="J44" s="119">
        <f>Fotball!K43</f>
        <v>44700</v>
      </c>
      <c r="K44" s="119">
        <f>Fotball!L43</f>
        <v>45000</v>
      </c>
      <c r="L44" s="119">
        <f>Sykkel!H43</f>
        <v>5875</v>
      </c>
      <c r="M44" s="119">
        <f>Sykkel!K43</f>
        <v>9500</v>
      </c>
      <c r="N44" s="119">
        <f>Sykkel!L43</f>
        <v>0</v>
      </c>
      <c r="O44" s="119">
        <f>'G &amp; T'!H43</f>
        <v>0</v>
      </c>
      <c r="P44" s="119">
        <f>'G &amp; T'!K43</f>
        <v>0</v>
      </c>
      <c r="Q44" s="119">
        <f>'G &amp; T'!L43</f>
        <v>0</v>
      </c>
      <c r="R44" s="119">
        <f>TKD!D43</f>
        <v>0</v>
      </c>
      <c r="S44" s="119">
        <f>TKD!F43</f>
        <v>4590</v>
      </c>
      <c r="T44" s="119">
        <f>TKD!G43</f>
        <v>2500</v>
      </c>
      <c r="U44" s="119">
        <f>Hovedlaget!H43+Anlegg!H43+Prestmarka!H43+Blilie!H43</f>
        <v>4000</v>
      </c>
      <c r="V44" s="119">
        <f>Hovedlaget!K43+Anlegg!K43+Prestmarka!K43+Blilie!K43</f>
        <v>1000</v>
      </c>
      <c r="W44" s="251">
        <f>Hovedlaget!L43+Anlegg!L43+Prestmarka!L43+Blilie!L43</f>
        <v>1000</v>
      </c>
      <c r="X44" s="263">
        <f>'Turn '!F43+Ski!F43+Fotball!F43+Sykkel!F43+'G &amp; T'!F43+Hovedlaget!F43+Anlegg!F43+Prestmarka!F43+Blilie!F43</f>
        <v>75465</v>
      </c>
      <c r="Y44" s="162">
        <f>'Turn '!E43+Ski!E43+Fotball!E43+Sykkel!E43+'G &amp; T'!E43+Hovedlaget!E43+Anlegg!E43+Blilie!E43+Prestmarka!E43</f>
        <v>48615</v>
      </c>
      <c r="Z44" s="161">
        <f t="shared" si="11"/>
        <v>80719</v>
      </c>
      <c r="AA44" s="264">
        <f>'Turn '!J43+Ski!J43+Fotball!J43+Sykkel!J43+'G &amp; T'!J43+TKD!E43+Hovedlaget!J43+Anlegg!J43+Prestmarka!J43+Blilie!J43</f>
        <v>71320</v>
      </c>
      <c r="AB44" s="242">
        <f t="shared" si="12"/>
        <v>68290</v>
      </c>
      <c r="AC44" s="274">
        <f t="shared" si="13"/>
        <v>66500</v>
      </c>
      <c r="AE44" s="4">
        <f t="shared" si="14"/>
        <v>3030</v>
      </c>
      <c r="AF44" s="4"/>
      <c r="AG44" s="4">
        <f t="shared" si="17"/>
        <v>12429</v>
      </c>
      <c r="AH44" s="230">
        <f t="shared" si="15"/>
        <v>6.4240089261723005E-2</v>
      </c>
      <c r="AI44" s="230">
        <f t="shared" si="16"/>
        <v>5.0758022644039134E-2</v>
      </c>
      <c r="AJ44" s="230">
        <f t="shared" si="16"/>
        <v>4.9527072316973265E-2</v>
      </c>
    </row>
    <row r="45" spans="1:36" ht="20" customHeight="1" x14ac:dyDescent="0.2">
      <c r="A45" s="9">
        <v>7420</v>
      </c>
      <c r="B45" s="13" t="s">
        <v>12</v>
      </c>
      <c r="C45" s="119">
        <f>'Turn '!H44</f>
        <v>2490</v>
      </c>
      <c r="D45" s="119">
        <f>'Turn '!K44</f>
        <v>2906</v>
      </c>
      <c r="E45" s="119">
        <f>'Turn '!L44</f>
        <v>1200</v>
      </c>
      <c r="F45" s="119">
        <f>Ski!H44</f>
        <v>1500</v>
      </c>
      <c r="G45" s="119">
        <f>Ski!K44</f>
        <v>3288</v>
      </c>
      <c r="H45" s="119">
        <f>Ski!L44</f>
        <v>4000</v>
      </c>
      <c r="I45" s="119">
        <f>Fotball!I44</f>
        <v>6000</v>
      </c>
      <c r="J45" s="119">
        <f>Fotball!K44</f>
        <v>11025</v>
      </c>
      <c r="K45" s="119">
        <f>Fotball!L44</f>
        <v>8000</v>
      </c>
      <c r="L45" s="119">
        <f>Sykkel!H44</f>
        <v>0</v>
      </c>
      <c r="M45" s="119">
        <f>Sykkel!K44</f>
        <v>0</v>
      </c>
      <c r="N45" s="119">
        <f>Sykkel!L44</f>
        <v>0</v>
      </c>
      <c r="O45" s="119">
        <f>'G &amp; T'!H44</f>
        <v>0</v>
      </c>
      <c r="P45" s="119">
        <f>'G &amp; T'!K44</f>
        <v>0</v>
      </c>
      <c r="Q45" s="119">
        <f>'G &amp; T'!L44</f>
        <v>0</v>
      </c>
      <c r="R45" s="119">
        <f>TKD!D44</f>
        <v>0</v>
      </c>
      <c r="S45" s="119">
        <f>TKD!F44</f>
        <v>0</v>
      </c>
      <c r="T45" s="119">
        <f>TKD!G44</f>
        <v>1500</v>
      </c>
      <c r="U45" s="119">
        <f>Hovedlaget!H44+Anlegg!H44+Prestmarka!H44+Blilie!H44</f>
        <v>5014</v>
      </c>
      <c r="V45" s="119">
        <f>Hovedlaget!K44+Anlegg!K44+Prestmarka!K44+Blilie!K44</f>
        <v>9494</v>
      </c>
      <c r="W45" s="251">
        <f>Hovedlaget!L44+Anlegg!L44+Prestmarka!L44+Blilie!L44</f>
        <v>4500</v>
      </c>
      <c r="X45" s="263">
        <f>'Turn '!F44+Ski!F44+Fotball!F44+Sykkel!F44+'G &amp; T'!F44+Hovedlaget!F44+Anlegg!F44+Prestmarka!F44+Blilie!F44</f>
        <v>13334.4</v>
      </c>
      <c r="Y45" s="162">
        <f>'Turn '!E44+Ski!E44+Fotball!E44+Sykkel!E44+'G &amp; T'!E44+Hovedlaget!E44+Anlegg!E44+Blilie!E44+Prestmarka!E44</f>
        <v>12430</v>
      </c>
      <c r="Z45" s="161">
        <f t="shared" si="11"/>
        <v>15004</v>
      </c>
      <c r="AA45" s="264">
        <f>'Turn '!J44+Ski!J44+Fotball!J44+Sykkel!J44+'G &amp; T'!J44+TKD!E44+Hovedlaget!J44+Anlegg!J44+Prestmarka!J44+Blilie!J44</f>
        <v>14800</v>
      </c>
      <c r="AB45" s="242">
        <f t="shared" si="12"/>
        <v>26713</v>
      </c>
      <c r="AC45" s="274">
        <f t="shared" si="13"/>
        <v>19200</v>
      </c>
      <c r="AE45" s="4">
        <f t="shared" si="14"/>
        <v>-11913</v>
      </c>
      <c r="AF45" s="4"/>
      <c r="AG45" s="4">
        <f t="shared" si="17"/>
        <v>-11709</v>
      </c>
      <c r="AH45" s="230">
        <f t="shared" si="15"/>
        <v>1.1940909814082086E-2</v>
      </c>
      <c r="AI45" s="230">
        <f t="shared" si="16"/>
        <v>1.9855016237958961E-2</v>
      </c>
      <c r="AJ45" s="230">
        <f t="shared" si="16"/>
        <v>1.4299545691517092E-2</v>
      </c>
    </row>
    <row r="46" spans="1:36" ht="20" customHeight="1" x14ac:dyDescent="0.2">
      <c r="A46" s="9">
        <v>7500</v>
      </c>
      <c r="B46" s="13" t="s">
        <v>21</v>
      </c>
      <c r="C46" s="119">
        <f>'Turn '!H45</f>
        <v>0</v>
      </c>
      <c r="D46" s="119">
        <f>'Turn '!K45</f>
        <v>8400</v>
      </c>
      <c r="E46" s="119">
        <f>'Turn '!L45</f>
        <v>8500</v>
      </c>
      <c r="F46" s="119">
        <f>Ski!H45</f>
        <v>0</v>
      </c>
      <c r="G46" s="119">
        <f>Ski!K45</f>
        <v>0</v>
      </c>
      <c r="H46" s="119">
        <f>Ski!L45</f>
        <v>0</v>
      </c>
      <c r="I46" s="119">
        <f>Fotball!I45</f>
        <v>11000</v>
      </c>
      <c r="J46" s="119">
        <f>Fotball!K45</f>
        <v>0</v>
      </c>
      <c r="K46" s="119">
        <f>Fotball!L45</f>
        <v>0</v>
      </c>
      <c r="L46" s="119">
        <f>Sykkel!H45</f>
        <v>0</v>
      </c>
      <c r="M46" s="119">
        <f>Sykkel!K45</f>
        <v>0</v>
      </c>
      <c r="N46" s="119">
        <f>Sykkel!L45</f>
        <v>0</v>
      </c>
      <c r="O46" s="119">
        <f>'G &amp; T'!H45</f>
        <v>0</v>
      </c>
      <c r="P46" s="119">
        <f>'G &amp; T'!K45</f>
        <v>0</v>
      </c>
      <c r="Q46" s="119">
        <f>'G &amp; T'!L45</f>
        <v>0</v>
      </c>
      <c r="R46" s="119">
        <f>TKD!D45</f>
        <v>0</v>
      </c>
      <c r="S46" s="119">
        <f>TKD!F45</f>
        <v>0</v>
      </c>
      <c r="T46" s="119">
        <f>TKD!G45</f>
        <v>0</v>
      </c>
      <c r="U46" s="119">
        <f>Hovedlaget!H45+Anlegg!H45+Prestmarka!H45+Blilie!H45</f>
        <v>42269</v>
      </c>
      <c r="V46" s="119">
        <f>Hovedlaget!K45+Anlegg!K45+Prestmarka!K45+Blilie!K45</f>
        <v>61750</v>
      </c>
      <c r="W46" s="251">
        <f>Hovedlaget!L45+Anlegg!L45+Prestmarka!L45+Blilie!L45</f>
        <v>64000</v>
      </c>
      <c r="X46" s="263">
        <f>'Turn '!F45+Ski!F45+Fotball!F45+Sykkel!F45+'G &amp; T'!F45+Hovedlaget!F45+Anlegg!F45+Prestmarka!F45+Blilie!F45</f>
        <v>60825</v>
      </c>
      <c r="Y46" s="162">
        <f>'Turn '!E45+Ski!E45+Fotball!E45+Sykkel!E45+'G &amp; T'!E45+Hovedlaget!E45+Anlegg!E45+Blilie!E45+Prestmarka!E45</f>
        <v>66171.600000000006</v>
      </c>
      <c r="Z46" s="161">
        <f t="shared" si="11"/>
        <v>53269</v>
      </c>
      <c r="AA46" s="264">
        <f>'Turn '!J45+Ski!J45+Fotball!J45+Sykkel!J45+'G &amp; T'!J45+TKD!E45+Hovedlaget!J45+Anlegg!J45+Prestmarka!J45+Blilie!J45</f>
        <v>55500</v>
      </c>
      <c r="AB46" s="242">
        <f t="shared" si="12"/>
        <v>70150</v>
      </c>
      <c r="AC46" s="274">
        <f t="shared" si="13"/>
        <v>72500</v>
      </c>
      <c r="AE46" s="4">
        <f t="shared" si="14"/>
        <v>-14650</v>
      </c>
      <c r="AF46" s="4"/>
      <c r="AG46" s="4">
        <f t="shared" si="17"/>
        <v>-16881</v>
      </c>
      <c r="AH46" s="231">
        <f t="shared" si="15"/>
        <v>4.2394049912445921E-2</v>
      </c>
      <c r="AI46" s="231">
        <f t="shared" si="16"/>
        <v>5.2140507958403068E-2</v>
      </c>
      <c r="AJ46" s="231">
        <f t="shared" si="16"/>
        <v>5.3995680345572353E-2</v>
      </c>
    </row>
    <row r="47" spans="1:36" s="142" customFormat="1" ht="20" customHeight="1" x14ac:dyDescent="0.2">
      <c r="A47" s="13">
        <v>7745</v>
      </c>
      <c r="B47" s="13" t="s">
        <v>90</v>
      </c>
      <c r="C47" s="119">
        <f>'Turn '!H46</f>
        <v>2422</v>
      </c>
      <c r="D47" s="119">
        <f>'Turn '!K46</f>
        <v>9080</v>
      </c>
      <c r="E47" s="119">
        <f>'Turn '!L46</f>
        <v>5000</v>
      </c>
      <c r="F47" s="119">
        <f>Ski!H46</f>
        <v>0</v>
      </c>
      <c r="G47" s="119">
        <f>Ski!K46</f>
        <v>0</v>
      </c>
      <c r="H47" s="119">
        <f>Ski!L46</f>
        <v>0</v>
      </c>
      <c r="I47" s="119">
        <f>Fotball!I46</f>
        <v>4000</v>
      </c>
      <c r="J47" s="119">
        <f>Fotball!K46</f>
        <v>2024</v>
      </c>
      <c r="K47" s="119">
        <f>Fotball!L46</f>
        <v>2000</v>
      </c>
      <c r="L47" s="119">
        <f>Sykkel!H46</f>
        <v>0</v>
      </c>
      <c r="M47" s="119">
        <f>Sykkel!K46</f>
        <v>0</v>
      </c>
      <c r="N47" s="119">
        <f>Sykkel!L46</f>
        <v>0</v>
      </c>
      <c r="O47" s="119">
        <f>'G &amp; T'!H46</f>
        <v>0</v>
      </c>
      <c r="P47" s="119">
        <f>'G &amp; T'!K46</f>
        <v>0</v>
      </c>
      <c r="Q47" s="119">
        <f>'G &amp; T'!L46</f>
        <v>0</v>
      </c>
      <c r="R47" s="119">
        <f>TKD!D46</f>
        <v>0</v>
      </c>
      <c r="S47" s="119">
        <f>TKD!F46</f>
        <v>3250</v>
      </c>
      <c r="T47" s="119">
        <f>TKD!G46</f>
        <v>5000</v>
      </c>
      <c r="U47" s="119">
        <f>Hovedlaget!H46+Anlegg!H46+Prestmarka!H46+Blilie!H46</f>
        <v>0.4</v>
      </c>
      <c r="V47" s="119">
        <f>Hovedlaget!K46+Anlegg!K46+Prestmarka!K46+Blilie!K46</f>
        <v>0</v>
      </c>
      <c r="W47" s="251">
        <f>Hovedlaget!L46+Anlegg!L46+Prestmarka!L46+Blilie!L46</f>
        <v>5000</v>
      </c>
      <c r="X47" s="263">
        <f>'Turn '!F46+Ski!F46+Fotball!F46+Sykkel!F46+'G &amp; T'!F46+Hovedlaget!F46+Anlegg!F46+Prestmarka!F46+Blilie!F46</f>
        <v>3900</v>
      </c>
      <c r="Y47" s="162">
        <f>'Turn '!E46+Ski!E46+Fotball!E46+Sykkel!E46+'G &amp; T'!E46+Hovedlaget!E46+Anlegg!E46+Blilie!E46+Prestmarka!E46</f>
        <v>3740</v>
      </c>
      <c r="Z47" s="161">
        <f t="shared" si="11"/>
        <v>6422.4</v>
      </c>
      <c r="AA47" s="264">
        <f>'Turn '!J46+Ski!J46+Fotball!J46+Sykkel!J46+'G &amp; T'!J46+TKD!E46+Hovedlaget!J46+Anlegg!J46+Prestmarka!J46+Blilie!J46</f>
        <v>28000</v>
      </c>
      <c r="AB47" s="242">
        <f t="shared" si="12"/>
        <v>14354</v>
      </c>
      <c r="AC47" s="274">
        <f t="shared" si="13"/>
        <v>17000</v>
      </c>
      <c r="AE47" s="4">
        <f t="shared" si="14"/>
        <v>13646</v>
      </c>
      <c r="AF47" s="4"/>
      <c r="AG47" s="4">
        <f t="shared" si="17"/>
        <v>-7931.6</v>
      </c>
      <c r="AH47" s="230">
        <f t="shared" si="15"/>
        <v>5.1112569441456139E-3</v>
      </c>
      <c r="AI47" s="230">
        <f t="shared" si="16"/>
        <v>1.0668921614182716E-2</v>
      </c>
      <c r="AJ47" s="230">
        <f t="shared" si="16"/>
        <v>1.2661056081030759E-2</v>
      </c>
    </row>
    <row r="48" spans="1:36" ht="20" customHeight="1" x14ac:dyDescent="0.2">
      <c r="A48" s="9">
        <v>7750</v>
      </c>
      <c r="B48" s="9" t="s">
        <v>32</v>
      </c>
      <c r="C48" s="119">
        <f>'Turn '!H47</f>
        <v>42587.8</v>
      </c>
      <c r="D48" s="119">
        <f>'Turn '!K47</f>
        <v>54704.84</v>
      </c>
      <c r="E48" s="119">
        <f>'Turn '!L47</f>
        <v>76000</v>
      </c>
      <c r="F48" s="119">
        <f>Ski!H47</f>
        <v>4340</v>
      </c>
      <c r="G48" s="119">
        <f>Ski!K47</f>
        <v>3565</v>
      </c>
      <c r="H48" s="119">
        <f>Ski!L47</f>
        <v>4000</v>
      </c>
      <c r="I48" s="119">
        <f>Fotball!I47</f>
        <v>192900</v>
      </c>
      <c r="J48" s="119">
        <f>Fotball!K47</f>
        <v>128823.59</v>
      </c>
      <c r="K48" s="119">
        <f>Fotball!L47</f>
        <v>122000</v>
      </c>
      <c r="L48" s="119">
        <f>Sykkel!H47</f>
        <v>4500</v>
      </c>
      <c r="M48" s="119">
        <f>Sykkel!K47</f>
        <v>0</v>
      </c>
      <c r="N48" s="119">
        <f>Sykkel!L47</f>
        <v>0</v>
      </c>
      <c r="O48" s="119">
        <f>'G &amp; T'!H47</f>
        <v>0</v>
      </c>
      <c r="P48" s="119">
        <f>'G &amp; T'!K47</f>
        <v>0</v>
      </c>
      <c r="Q48" s="119">
        <f>'G &amp; T'!L47</f>
        <v>0</v>
      </c>
      <c r="R48" s="119">
        <f>TKD!D47</f>
        <v>0</v>
      </c>
      <c r="S48" s="119">
        <f>TKD!F47</f>
        <v>0</v>
      </c>
      <c r="T48" s="119">
        <f>TKD!G47</f>
        <v>3000</v>
      </c>
      <c r="U48" s="119">
        <f>Hovedlaget!H47+Anlegg!H47+Prestmarka!H47+Blilie!H47</f>
        <v>0</v>
      </c>
      <c r="V48" s="119">
        <f>Hovedlaget!K47+Anlegg!K47+Prestmarka!K47+Blilie!K47</f>
        <v>0</v>
      </c>
      <c r="W48" s="251">
        <f>Hovedlaget!L47+Anlegg!L47+Prestmarka!L47+Blilie!L47</f>
        <v>0</v>
      </c>
      <c r="X48" s="263">
        <f>'Turn '!F47+Ski!F47+Fotball!F47+Sykkel!F47+'G &amp; T'!F47+Hovedlaget!F47+Anlegg!F47+Prestmarka!F47+Blilie!F47</f>
        <v>671138.1</v>
      </c>
      <c r="Y48" s="162">
        <f>'Turn '!E47+Ski!E47+Fotball!E47+Sykkel!E47+'G &amp; T'!E47+Hovedlaget!E47+Anlegg!E47+Blilie!E47+Prestmarka!E47</f>
        <v>323360</v>
      </c>
      <c r="Z48" s="161">
        <f t="shared" si="11"/>
        <v>244327.8</v>
      </c>
      <c r="AA48" s="264">
        <f>'Turn '!J47+Ski!J47+Fotball!J47+Sykkel!J47+'G &amp; T'!J47+TKD!E47+Hovedlaget!J47+Anlegg!J47+Prestmarka!J47+Blilie!J47</f>
        <v>165000</v>
      </c>
      <c r="AB48" s="242">
        <f t="shared" si="12"/>
        <v>187093.43</v>
      </c>
      <c r="AC48" s="274">
        <f t="shared" si="13"/>
        <v>205000</v>
      </c>
      <c r="AE48" s="4">
        <f t="shared" si="14"/>
        <v>-22093.429999999993</v>
      </c>
      <c r="AF48" s="4"/>
      <c r="AG48" s="4">
        <f t="shared" si="17"/>
        <v>57234.369999999995</v>
      </c>
      <c r="AH48" s="234">
        <f t="shared" si="15"/>
        <v>0.19444789555272493</v>
      </c>
      <c r="AI48" s="234">
        <f t="shared" si="16"/>
        <v>0.1390612469833204</v>
      </c>
      <c r="AJ48" s="234">
        <f t="shared" si="16"/>
        <v>0.15267744097713562</v>
      </c>
    </row>
    <row r="49" spans="1:36" ht="20" customHeight="1" x14ac:dyDescent="0.2">
      <c r="A49" s="9">
        <v>7755</v>
      </c>
      <c r="B49" s="9" t="s">
        <v>33</v>
      </c>
      <c r="C49" s="119">
        <f>'Turn '!H48</f>
        <v>1800</v>
      </c>
      <c r="D49" s="119">
        <f>'Turn '!K48</f>
        <v>0</v>
      </c>
      <c r="E49" s="119">
        <f>'Turn '!L48</f>
        <v>6000</v>
      </c>
      <c r="F49" s="119">
        <f>Ski!H48</f>
        <v>0</v>
      </c>
      <c r="G49" s="119">
        <f>Ski!K48</f>
        <v>2100</v>
      </c>
      <c r="H49" s="119">
        <f>Ski!L48</f>
        <v>4000</v>
      </c>
      <c r="I49" s="119">
        <f>Fotball!I48</f>
        <v>68600</v>
      </c>
      <c r="J49" s="119">
        <f>Fotball!K48</f>
        <v>80752</v>
      </c>
      <c r="K49" s="119">
        <f>Fotball!L48</f>
        <v>70000</v>
      </c>
      <c r="L49" s="119">
        <f>Sykkel!H48</f>
        <v>0</v>
      </c>
      <c r="M49" s="119">
        <f>Sykkel!K48</f>
        <v>0</v>
      </c>
      <c r="N49" s="119">
        <f>Sykkel!L48</f>
        <v>0</v>
      </c>
      <c r="O49" s="119">
        <f>'G &amp; T'!H48</f>
        <v>0</v>
      </c>
      <c r="P49" s="119">
        <f>'G &amp; T'!K48</f>
        <v>0</v>
      </c>
      <c r="Q49" s="119">
        <f>'G &amp; T'!L48</f>
        <v>0</v>
      </c>
      <c r="R49" s="119">
        <f>TKD!D48</f>
        <v>0</v>
      </c>
      <c r="S49" s="119">
        <f>TKD!F48</f>
        <v>0</v>
      </c>
      <c r="T49" s="119">
        <f>TKD!G48</f>
        <v>0</v>
      </c>
      <c r="U49" s="119">
        <f>Hovedlaget!H48+Anlegg!H48+Prestmarka!H48+Blilie!H48</f>
        <v>0</v>
      </c>
      <c r="V49" s="119">
        <f>Hovedlaget!K48+Anlegg!K48+Prestmarka!K48+Blilie!K48</f>
        <v>0</v>
      </c>
      <c r="W49" s="251">
        <f>Hovedlaget!L48+Anlegg!L48+Prestmarka!L48+Blilie!L48</f>
        <v>0</v>
      </c>
      <c r="X49" s="263">
        <f>'Turn '!F48+Ski!F48+Fotball!F48+Sykkel!F48+'G &amp; T'!F48+Hovedlaget!F48+Anlegg!F48+Prestmarka!F48+Blilie!F48</f>
        <v>123425</v>
      </c>
      <c r="Y49" s="162">
        <f>'Turn '!E48+Ski!E48+Fotball!E48+Sykkel!E48+'G &amp; T'!E48+Hovedlaget!E48+Anlegg!E48+Blilie!E48+Prestmarka!E48</f>
        <v>46298</v>
      </c>
      <c r="Z49" s="161">
        <f t="shared" si="11"/>
        <v>70400</v>
      </c>
      <c r="AA49" s="264">
        <f>'Turn '!J48+Ski!J48+Fotball!J48+Sykkel!J48+'G &amp; T'!J48+TKD!E48+Hovedlaget!J48+Anlegg!J48+Prestmarka!J48+Blilie!J48</f>
        <v>53750</v>
      </c>
      <c r="AB49" s="242">
        <f t="shared" si="12"/>
        <v>82852</v>
      </c>
      <c r="AC49" s="274">
        <f t="shared" si="13"/>
        <v>80000</v>
      </c>
      <c r="AE49" s="4">
        <f t="shared" si="14"/>
        <v>-29102</v>
      </c>
      <c r="AF49" s="4"/>
      <c r="AG49" s="4">
        <f t="shared" si="17"/>
        <v>-12452</v>
      </c>
      <c r="AH49" s="230">
        <f t="shared" si="15"/>
        <v>5.6027729332936475E-2</v>
      </c>
      <c r="AI49" s="230">
        <f t="shared" si="16"/>
        <v>6.1581544766494807E-2</v>
      </c>
      <c r="AJ49" s="230">
        <f t="shared" si="16"/>
        <v>5.9581440381321217E-2</v>
      </c>
    </row>
    <row r="50" spans="1:36" ht="20" customHeight="1" x14ac:dyDescent="0.2">
      <c r="A50" s="9">
        <v>7770</v>
      </c>
      <c r="B50" s="13" t="s">
        <v>46</v>
      </c>
      <c r="C50" s="119">
        <f>'Turn '!H49</f>
        <v>0</v>
      </c>
      <c r="D50" s="119">
        <f>'Turn '!K49</f>
        <v>0</v>
      </c>
      <c r="E50" s="119">
        <f>'Turn '!L49</f>
        <v>500</v>
      </c>
      <c r="F50" s="119">
        <f>Ski!H49</f>
        <v>0</v>
      </c>
      <c r="G50" s="119">
        <f>Ski!K49</f>
        <v>0</v>
      </c>
      <c r="H50" s="119">
        <f>Ski!L49</f>
        <v>0</v>
      </c>
      <c r="I50" s="119">
        <f>Fotball!I49</f>
        <v>0</v>
      </c>
      <c r="J50" s="119">
        <f>Fotball!K49</f>
        <v>0</v>
      </c>
      <c r="K50" s="119">
        <f>Fotball!L49</f>
        <v>0</v>
      </c>
      <c r="L50" s="119">
        <f>Sykkel!H49</f>
        <v>0</v>
      </c>
      <c r="M50" s="119">
        <f>Sykkel!K49</f>
        <v>0</v>
      </c>
      <c r="N50" s="119">
        <f>Sykkel!L49</f>
        <v>0</v>
      </c>
      <c r="O50" s="119">
        <f>'G &amp; T'!H49</f>
        <v>0</v>
      </c>
      <c r="P50" s="119">
        <f>'G &amp; T'!K49</f>
        <v>0</v>
      </c>
      <c r="Q50" s="119">
        <f>'G &amp; T'!L49</f>
        <v>0</v>
      </c>
      <c r="R50" s="119">
        <f>TKD!D49</f>
        <v>0</v>
      </c>
      <c r="S50" s="119">
        <f>TKD!F49</f>
        <v>0</v>
      </c>
      <c r="T50" s="119">
        <f>TKD!G49</f>
        <v>0</v>
      </c>
      <c r="U50" s="119">
        <f>Hovedlaget!H49+Anlegg!H49+Prestmarka!H49+Blilie!H49</f>
        <v>2645</v>
      </c>
      <c r="V50" s="119">
        <f>Hovedlaget!K49+Anlegg!K49+Prestmarka!K49+Blilie!K49</f>
        <v>3447</v>
      </c>
      <c r="W50" s="251">
        <f>Hovedlaget!L49+Anlegg!L49+Prestmarka!L49+Blilie!L49</f>
        <v>5000</v>
      </c>
      <c r="X50" s="263">
        <f>'Turn '!F49+Ski!F49+Fotball!F49+Sykkel!F49+'G &amp; T'!F49+Hovedlaget!F49+Anlegg!F49+Prestmarka!F49+Blilie!F49</f>
        <v>2473</v>
      </c>
      <c r="Y50" s="162">
        <f>'Turn '!E49+Ski!E49+Fotball!E49+Sykkel!E49+'G &amp; T'!E49+Hovedlaget!E49+Anlegg!E49+Blilie!E49+Prestmarka!E49</f>
        <v>1872</v>
      </c>
      <c r="Z50" s="161">
        <f t="shared" si="11"/>
        <v>2645</v>
      </c>
      <c r="AA50" s="264">
        <f>'Turn '!J49+Ski!J49+Fotball!J49+Sykkel!J49+'G &amp; T'!J49+TKD!E49+Hovedlaget!J49+Anlegg!J49+Prestmarka!J49+Blilie!J49</f>
        <v>2500</v>
      </c>
      <c r="AB50" s="242">
        <f t="shared" si="12"/>
        <v>3447</v>
      </c>
      <c r="AC50" s="274">
        <f t="shared" si="13"/>
        <v>5500</v>
      </c>
      <c r="AE50" s="4">
        <f t="shared" si="14"/>
        <v>-947</v>
      </c>
      <c r="AF50" s="4"/>
      <c r="AG50" s="4">
        <f t="shared" si="17"/>
        <v>-802</v>
      </c>
      <c r="AH50" s="230">
        <f t="shared" si="15"/>
        <v>2.1050190921252411E-3</v>
      </c>
      <c r="AI50" s="230">
        <f t="shared" si="16"/>
        <v>2.5620574616196062E-3</v>
      </c>
      <c r="AJ50" s="230">
        <f t="shared" si="16"/>
        <v>4.0962240262158341E-3</v>
      </c>
    </row>
    <row r="51" spans="1:36" ht="20" customHeight="1" x14ac:dyDescent="0.2">
      <c r="A51" s="9">
        <v>7790</v>
      </c>
      <c r="B51" s="9" t="s">
        <v>34</v>
      </c>
      <c r="C51" s="119">
        <f>'Turn '!H50</f>
        <v>205</v>
      </c>
      <c r="D51" s="119">
        <f>'Turn '!K50</f>
        <v>203</v>
      </c>
      <c r="E51" s="119">
        <f>'Turn '!L50</f>
        <v>8000</v>
      </c>
      <c r="F51" s="119">
        <f>Ski!H50</f>
        <v>0</v>
      </c>
      <c r="G51" s="119">
        <f>Ski!K50</f>
        <v>0</v>
      </c>
      <c r="H51" s="119">
        <f>Ski!L50</f>
        <v>0</v>
      </c>
      <c r="I51" s="119">
        <f>Fotball!I50</f>
        <v>6000</v>
      </c>
      <c r="J51" s="119">
        <f>Fotball!K50</f>
        <v>2400</v>
      </c>
      <c r="K51" s="119">
        <f>Fotball!L50</f>
        <v>0</v>
      </c>
      <c r="L51" s="119">
        <f>Sykkel!H50</f>
        <v>0</v>
      </c>
      <c r="M51" s="119">
        <f>Sykkel!K50</f>
        <v>0</v>
      </c>
      <c r="N51" s="119">
        <f>Sykkel!L50</f>
        <v>0</v>
      </c>
      <c r="O51" s="119">
        <f>'G &amp; T'!H50</f>
        <v>0</v>
      </c>
      <c r="P51" s="119">
        <f>'G &amp; T'!K50</f>
        <v>0</v>
      </c>
      <c r="Q51" s="119">
        <f>'G &amp; T'!L50</f>
        <v>0</v>
      </c>
      <c r="R51" s="119">
        <f>TKD!D50</f>
        <v>0</v>
      </c>
      <c r="S51" s="119">
        <f>TKD!F50</f>
        <v>0</v>
      </c>
      <c r="T51" s="119">
        <f>TKD!G50</f>
        <v>1500</v>
      </c>
      <c r="U51" s="119">
        <f>Hovedlaget!H50+Anlegg!H50+Prestmarka!H50+Blilie!H50</f>
        <v>-2166</v>
      </c>
      <c r="V51" s="119">
        <f>Hovedlaget!K50+Anlegg!K50+Prestmarka!K50+Blilie!K50</f>
        <v>6379</v>
      </c>
      <c r="W51" s="251">
        <f>Hovedlaget!L50+Anlegg!L50+Prestmarka!L50+Blilie!L50</f>
        <v>2000</v>
      </c>
      <c r="X51" s="263">
        <f>'Turn '!F50+Ski!F50+Fotball!F50+Sykkel!F50+'G &amp; T'!F50+Hovedlaget!F50+Anlegg!F50+Prestmarka!F50+Blilie!F50</f>
        <v>10999.16</v>
      </c>
      <c r="Y51" s="162">
        <f>'Turn '!E50+Ski!E50+Fotball!E50+Sykkel!E50+'G &amp; T'!E50+Hovedlaget!E50+Anlegg!E50+Blilie!E50+Prestmarka!E50</f>
        <v>14190</v>
      </c>
      <c r="Z51" s="161">
        <f t="shared" si="11"/>
        <v>4039</v>
      </c>
      <c r="AA51" s="264">
        <f>'Turn '!J50+Ski!J50+Fotball!J50+Sykkel!J50+'G &amp; T'!J50+TKD!E50+Hovedlaget!J50+Anlegg!J50+Prestmarka!J50+Blilie!J50</f>
        <v>4000</v>
      </c>
      <c r="AB51" s="242">
        <f t="shared" si="12"/>
        <v>8982</v>
      </c>
      <c r="AC51" s="274">
        <f t="shared" si="13"/>
        <v>11500</v>
      </c>
      <c r="AE51" s="4">
        <f t="shared" si="14"/>
        <v>-4982</v>
      </c>
      <c r="AF51" s="4"/>
      <c r="AG51" s="4">
        <f t="shared" si="17"/>
        <v>-4943</v>
      </c>
      <c r="AH51" s="230">
        <f t="shared" si="15"/>
        <v>3.2144318007916251E-3</v>
      </c>
      <c r="AI51" s="230">
        <f t="shared" si="16"/>
        <v>6.6760661793638819E-3</v>
      </c>
      <c r="AJ51" s="230">
        <f t="shared" si="16"/>
        <v>8.5648320548149248E-3</v>
      </c>
    </row>
    <row r="52" spans="1:36" ht="20" customHeight="1" x14ac:dyDescent="0.2">
      <c r="A52" s="9">
        <v>6010</v>
      </c>
      <c r="B52" s="23" t="s">
        <v>54</v>
      </c>
      <c r="C52" s="119">
        <f>'Turn '!H51</f>
        <v>0</v>
      </c>
      <c r="D52" s="119">
        <f>'Turn '!K51</f>
        <v>0</v>
      </c>
      <c r="E52" s="119">
        <f>'Turn '!L51</f>
        <v>0</v>
      </c>
      <c r="F52" s="119">
        <f>Ski!H51</f>
        <v>0</v>
      </c>
      <c r="G52" s="119">
        <f>Ski!K51</f>
        <v>0</v>
      </c>
      <c r="H52" s="119">
        <f>Ski!L51</f>
        <v>0</v>
      </c>
      <c r="I52" s="119">
        <f>Fotball!I51</f>
        <v>0</v>
      </c>
      <c r="J52" s="119">
        <f>Fotball!K51</f>
        <v>0</v>
      </c>
      <c r="K52" s="119">
        <f>Fotball!L51</f>
        <v>0</v>
      </c>
      <c r="L52" s="119">
        <f>Sykkel!H51</f>
        <v>0</v>
      </c>
      <c r="M52" s="119">
        <f>Sykkel!K51</f>
        <v>0</v>
      </c>
      <c r="N52" s="119">
        <f>Sykkel!L51</f>
        <v>0</v>
      </c>
      <c r="O52" s="119">
        <f>'G &amp; T'!H51</f>
        <v>0</v>
      </c>
      <c r="P52" s="119">
        <f>'G &amp; T'!K51</f>
        <v>0</v>
      </c>
      <c r="Q52" s="119">
        <f>'G &amp; T'!L51</f>
        <v>0</v>
      </c>
      <c r="R52" s="119">
        <f>TKD!D51</f>
        <v>0</v>
      </c>
      <c r="S52" s="119">
        <f>TKD!F51</f>
        <v>0</v>
      </c>
      <c r="T52" s="119">
        <f>TKD!G51</f>
        <v>0</v>
      </c>
      <c r="U52" s="119">
        <f>Hovedlaget!H51+Anlegg!H51+Prestmarka!H51+Blilie!H51</f>
        <v>74983</v>
      </c>
      <c r="V52" s="119">
        <f>Hovedlaget!K51+Anlegg!K51+Prestmarka!K51+Blilie!K51</f>
        <v>75447</v>
      </c>
      <c r="W52" s="251">
        <f>Hovedlaget!L51+Anlegg!L51+Prestmarka!L51+Blilie!L51</f>
        <v>67000</v>
      </c>
      <c r="X52" s="263">
        <f>'Turn '!F51+Ski!F51+Fotball!F51+Sykkel!F51+'G &amp; T'!F51+Hovedlaget!F51+Anlegg!F51+Prestmarka!F51+Blilie!F51</f>
        <v>74983</v>
      </c>
      <c r="Y52" s="162">
        <f>'Turn '!E51+Ski!E51+Fotball!E51+Sykkel!E51+'G &amp; T'!E51+Hovedlaget!E51+Anlegg!E51+Blilie!E51+Prestmarka!E51</f>
        <v>40684</v>
      </c>
      <c r="Z52" s="161">
        <f t="shared" si="11"/>
        <v>74983</v>
      </c>
      <c r="AA52" s="264">
        <f>'Turn '!J51+Ski!J51+Fotball!J51+Sykkel!J51+'G &amp; T'!J51+TKD!E51+Hovedlaget!J51+Anlegg!J51+Prestmarka!J51+Blilie!J51</f>
        <v>66000</v>
      </c>
      <c r="AB52" s="242">
        <f t="shared" si="12"/>
        <v>75447</v>
      </c>
      <c r="AC52" s="274">
        <f t="shared" si="13"/>
        <v>67000</v>
      </c>
      <c r="AE52" s="4">
        <f t="shared" si="14"/>
        <v>-9447</v>
      </c>
      <c r="AF52" s="4"/>
      <c r="AG52" s="4">
        <f t="shared" si="17"/>
        <v>-464</v>
      </c>
      <c r="AH52" s="230">
        <f t="shared" si="15"/>
        <v>5.9675102678573518E-2</v>
      </c>
      <c r="AI52" s="230">
        <f t="shared" si="16"/>
        <v>5.6077618017642709E-2</v>
      </c>
      <c r="AJ52" s="230">
        <f t="shared" si="16"/>
        <v>4.9899456319356522E-2</v>
      </c>
    </row>
    <row r="53" spans="1:36" ht="20" customHeight="1" x14ac:dyDescent="0.2">
      <c r="A53" s="9"/>
      <c r="B53" s="151" t="s">
        <v>102</v>
      </c>
      <c r="C53" s="38">
        <f>SUM(C21:C52)</f>
        <v>109723.29000000001</v>
      </c>
      <c r="D53" s="38">
        <f t="shared" ref="D53:AA53" si="18">SUM(D21:D52)</f>
        <v>228126.63999999998</v>
      </c>
      <c r="E53" s="38">
        <f t="shared" si="18"/>
        <v>165200</v>
      </c>
      <c r="F53" s="38">
        <f t="shared" si="18"/>
        <v>51049.45</v>
      </c>
      <c r="G53" s="38">
        <f t="shared" si="18"/>
        <v>42354.8</v>
      </c>
      <c r="H53" s="38">
        <f t="shared" si="18"/>
        <v>29000</v>
      </c>
      <c r="I53" s="38">
        <f t="shared" si="18"/>
        <v>448199</v>
      </c>
      <c r="J53" s="38">
        <f t="shared" si="18"/>
        <v>392253.08999999997</v>
      </c>
      <c r="K53" s="38">
        <f t="shared" si="18"/>
        <v>361500</v>
      </c>
      <c r="L53" s="38">
        <f t="shared" si="18"/>
        <v>10375</v>
      </c>
      <c r="M53" s="38">
        <f t="shared" si="18"/>
        <v>9500</v>
      </c>
      <c r="N53" s="38">
        <f t="shared" si="18"/>
        <v>0</v>
      </c>
      <c r="O53" s="38">
        <f t="shared" si="18"/>
        <v>0</v>
      </c>
      <c r="P53" s="38">
        <f t="shared" si="18"/>
        <v>0</v>
      </c>
      <c r="Q53" s="38">
        <f t="shared" si="18"/>
        <v>0</v>
      </c>
      <c r="R53" s="38">
        <f t="shared" si="18"/>
        <v>0</v>
      </c>
      <c r="S53" s="38">
        <f t="shared" si="18"/>
        <v>35828.959999999999</v>
      </c>
      <c r="T53" s="38">
        <f t="shared" si="18"/>
        <v>100500</v>
      </c>
      <c r="U53" s="38">
        <f t="shared" si="18"/>
        <v>637173.93000000005</v>
      </c>
      <c r="V53" s="38">
        <f t="shared" si="18"/>
        <v>637339.59000000008</v>
      </c>
      <c r="W53" s="255">
        <f t="shared" si="18"/>
        <v>686500</v>
      </c>
      <c r="X53" s="267">
        <f>SUM(X21:X52)</f>
        <v>2316267.67</v>
      </c>
      <c r="Y53" s="148">
        <f>SUM(Y21:Y52)</f>
        <v>1270339.6000000001</v>
      </c>
      <c r="Z53" s="148">
        <f>SUM(Z21:Z52)</f>
        <v>1256520.6700000002</v>
      </c>
      <c r="AA53" s="148">
        <f t="shared" si="18"/>
        <v>1208550</v>
      </c>
      <c r="AB53" s="245">
        <f>SUM(AB21:AB52)</f>
        <v>1345403.08</v>
      </c>
      <c r="AC53" s="275">
        <f>SUM(AC21:AC52)</f>
        <v>1342700</v>
      </c>
      <c r="AE53" s="148">
        <f>SUM(AE21:AE52)</f>
        <v>-136853.07999999999</v>
      </c>
      <c r="AF53" s="233"/>
      <c r="AG53" s="148">
        <f t="shared" si="17"/>
        <v>-88882.409999999916</v>
      </c>
      <c r="AH53" s="233"/>
    </row>
    <row r="54" spans="1:36" ht="20" customHeight="1" x14ac:dyDescent="0.2">
      <c r="A54" s="9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21"/>
      <c r="S54" s="121"/>
      <c r="T54" s="121"/>
      <c r="U54" s="10"/>
      <c r="V54" s="10"/>
      <c r="W54" s="254"/>
      <c r="X54" s="266"/>
      <c r="Y54" s="162"/>
      <c r="Z54" s="162"/>
      <c r="AA54" s="8">
        <f>SUM(C54:Q54)</f>
        <v>0</v>
      </c>
      <c r="AB54" s="246"/>
      <c r="AC54" s="274"/>
    </row>
    <row r="55" spans="1:36" ht="20" customHeight="1" x14ac:dyDescent="0.2">
      <c r="A55" s="9"/>
      <c r="B55" s="151" t="s">
        <v>103</v>
      </c>
      <c r="C55" s="38">
        <f>C19-C53</f>
        <v>-2654.2900000000081</v>
      </c>
      <c r="D55" s="38">
        <f t="shared" ref="D55:AC55" si="19">D19-D53</f>
        <v>3218.3600000000151</v>
      </c>
      <c r="E55" s="38">
        <f t="shared" si="19"/>
        <v>1300</v>
      </c>
      <c r="F55" s="38">
        <f t="shared" si="19"/>
        <v>20515.550000000003</v>
      </c>
      <c r="G55" s="38">
        <f t="shared" si="19"/>
        <v>4497.1999999999971</v>
      </c>
      <c r="H55" s="38">
        <f t="shared" si="19"/>
        <v>14000</v>
      </c>
      <c r="I55" s="38">
        <f t="shared" si="19"/>
        <v>13201</v>
      </c>
      <c r="J55" s="38">
        <f t="shared" si="19"/>
        <v>-21886.089999999967</v>
      </c>
      <c r="K55" s="38">
        <f t="shared" si="19"/>
        <v>-1500</v>
      </c>
      <c r="L55" s="38">
        <f t="shared" si="19"/>
        <v>-10375</v>
      </c>
      <c r="M55" s="38">
        <f t="shared" si="19"/>
        <v>-9500</v>
      </c>
      <c r="N55" s="38">
        <f t="shared" si="19"/>
        <v>0</v>
      </c>
      <c r="O55" s="38">
        <f t="shared" si="19"/>
        <v>0</v>
      </c>
      <c r="P55" s="38">
        <f t="shared" si="19"/>
        <v>0</v>
      </c>
      <c r="Q55" s="38">
        <f t="shared" si="19"/>
        <v>0</v>
      </c>
      <c r="R55" s="38">
        <f t="shared" si="19"/>
        <v>12000</v>
      </c>
      <c r="S55" s="38">
        <f t="shared" si="19"/>
        <v>7677.0400000000009</v>
      </c>
      <c r="T55" s="38">
        <f t="shared" si="19"/>
        <v>500</v>
      </c>
      <c r="U55" s="38">
        <f t="shared" si="19"/>
        <v>93290.499999999884</v>
      </c>
      <c r="V55" s="38">
        <f t="shared" si="19"/>
        <v>-16377.540000000037</v>
      </c>
      <c r="W55" s="255">
        <f t="shared" si="19"/>
        <v>-76500</v>
      </c>
      <c r="X55" s="267">
        <f>X19-X53</f>
        <v>-248080.05000000005</v>
      </c>
      <c r="Y55" s="148">
        <f t="shared" si="19"/>
        <v>371939.39999999991</v>
      </c>
      <c r="Z55" s="148">
        <f t="shared" si="19"/>
        <v>125977.75999999978</v>
      </c>
      <c r="AA55" s="148">
        <f t="shared" si="19"/>
        <v>-15000</v>
      </c>
      <c r="AB55" s="245">
        <f t="shared" si="19"/>
        <v>-32371.030000000028</v>
      </c>
      <c r="AC55" s="275">
        <f t="shared" si="19"/>
        <v>-62200</v>
      </c>
      <c r="AE55" s="148">
        <f>AB55-AA55</f>
        <v>-17371.030000000028</v>
      </c>
      <c r="AF55" s="233"/>
      <c r="AG55" s="233"/>
      <c r="AH55" s="233"/>
    </row>
    <row r="56" spans="1:36" ht="20" customHeight="1" x14ac:dyDescent="0.2">
      <c r="A56" s="23"/>
      <c r="B56" s="23"/>
      <c r="C56" s="23"/>
      <c r="D56" s="23"/>
      <c r="E56" s="23"/>
      <c r="F56" s="23"/>
      <c r="G56" s="23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20"/>
      <c r="S56" s="120"/>
      <c r="T56" s="120"/>
      <c r="U56" s="11"/>
      <c r="V56" s="11"/>
      <c r="W56" s="256"/>
      <c r="X56" s="268"/>
      <c r="Y56" s="163"/>
      <c r="Z56" s="163"/>
      <c r="AA56" s="54"/>
      <c r="AB56" s="247"/>
      <c r="AC56" s="269"/>
    </row>
    <row r="57" spans="1:36" ht="20" customHeight="1" x14ac:dyDescent="0.2">
      <c r="A57" s="23"/>
      <c r="B57" s="24" t="s">
        <v>49</v>
      </c>
      <c r="C57" s="25"/>
      <c r="D57" s="25"/>
      <c r="E57" s="25"/>
      <c r="F57" s="25"/>
      <c r="G57" s="25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20"/>
      <c r="S57" s="120"/>
      <c r="T57" s="120"/>
      <c r="U57" s="11"/>
      <c r="V57" s="11"/>
      <c r="W57" s="256"/>
      <c r="X57" s="266"/>
      <c r="Y57" s="163"/>
      <c r="Z57" s="163"/>
      <c r="AA57" s="54"/>
      <c r="AB57" s="247"/>
      <c r="AC57" s="269"/>
    </row>
    <row r="58" spans="1:36" ht="20" customHeight="1" x14ac:dyDescent="0.2">
      <c r="A58" s="23"/>
      <c r="B58" s="23" t="s">
        <v>50</v>
      </c>
      <c r="C58" s="25">
        <f>'Turn '!E57</f>
        <v>30.4</v>
      </c>
      <c r="D58" s="25"/>
      <c r="E58" s="25">
        <f>'Turn '!I57</f>
        <v>0</v>
      </c>
      <c r="F58" s="25">
        <f>Ski!E57</f>
        <v>125.45</v>
      </c>
      <c r="G58" s="25">
        <f>Ski!H57</f>
        <v>0</v>
      </c>
      <c r="H58" s="25">
        <f>Ski!G57</f>
        <v>0</v>
      </c>
      <c r="I58" s="14">
        <f>Fotball!F57</f>
        <v>71</v>
      </c>
      <c r="J58" s="14">
        <f>Fotball!H57</f>
        <v>0</v>
      </c>
      <c r="K58" s="14">
        <f>Fotball!J57</f>
        <v>0</v>
      </c>
      <c r="L58" s="14">
        <f>Sykkel!F57</f>
        <v>142</v>
      </c>
      <c r="M58" s="14">
        <f>Sykkel!H57</f>
        <v>0</v>
      </c>
      <c r="N58" s="14">
        <f>Sykkel!G57</f>
        <v>0</v>
      </c>
      <c r="O58" s="14">
        <f>'G &amp; T'!D57</f>
        <v>0</v>
      </c>
      <c r="P58" s="14">
        <f>'G &amp; T'!F57</f>
        <v>0</v>
      </c>
      <c r="Q58" s="14">
        <f>'G &amp; T'!G57</f>
        <v>0</v>
      </c>
      <c r="R58" s="122"/>
      <c r="S58" s="122">
        <f>'G &amp; T'!H57</f>
        <v>0</v>
      </c>
      <c r="T58" s="122">
        <f>'G &amp; T'!I57</f>
        <v>0</v>
      </c>
      <c r="U58" s="14">
        <f>'G &amp; T'!F57+Hovedlaget!F57+Anlegg!F57+Blilie!F57+Prestmarka!F57</f>
        <v>25461.61</v>
      </c>
      <c r="V58" s="119">
        <f>Hovedlaget!K57</f>
        <v>13085</v>
      </c>
      <c r="W58" s="251">
        <f>Hovedlaget!L57</f>
        <v>12000</v>
      </c>
      <c r="X58" s="263">
        <f>C58+F58+I58+L58+U58</f>
        <v>25830.46</v>
      </c>
      <c r="Y58" s="162">
        <f>'Turn '!E57+Ski!E57+Fotball!E57+Sykkel!E57+'G &amp; T'!E57+Hovedlaget!E57+Anlegg!E57+Blilie!E57+Prestmarka!E57</f>
        <v>40485.35</v>
      </c>
      <c r="Z58" s="161">
        <f t="shared" ref="Z58:Z59" si="20">C58+F58+I58+L58+O58+R58+U58</f>
        <v>25830.46</v>
      </c>
      <c r="AA58" s="264">
        <f>'Turn '!J57+Ski!J57+Fotball!J57+Sykkel!J57+'G &amp; T'!J57+TKD!E57+Hovedlaget!J57+Anlegg!J57+Prestmarka!J57+Blilie!J57</f>
        <v>15000</v>
      </c>
      <c r="AB58" s="242">
        <f t="shared" ref="AB58:AC59" si="21">D58+G58+J58+M58+P58+S58+V58</f>
        <v>13085</v>
      </c>
      <c r="AC58" s="274">
        <f t="shared" si="21"/>
        <v>12000</v>
      </c>
    </row>
    <row r="59" spans="1:36" ht="20" customHeight="1" x14ac:dyDescent="0.2">
      <c r="A59" s="23"/>
      <c r="B59" s="23" t="s">
        <v>52</v>
      </c>
      <c r="C59" s="25">
        <f>'Turn '!D58</f>
        <v>0</v>
      </c>
      <c r="D59" s="25">
        <f>'Turn '!F58</f>
        <v>0</v>
      </c>
      <c r="E59" s="25">
        <f>'Turn '!G58</f>
        <v>0</v>
      </c>
      <c r="F59" s="25">
        <f>Ski!D58</f>
        <v>0</v>
      </c>
      <c r="G59" s="25">
        <f>Ski!F58</f>
        <v>0</v>
      </c>
      <c r="H59" s="25">
        <f>Ski!G58</f>
        <v>0</v>
      </c>
      <c r="I59" s="14">
        <f>Fotball!D58</f>
        <v>0</v>
      </c>
      <c r="J59" s="14">
        <f>Fotball!F58</f>
        <v>0</v>
      </c>
      <c r="K59" s="14">
        <f>Fotball!G58</f>
        <v>0</v>
      </c>
      <c r="L59" s="14">
        <f>Sykkel!D58</f>
        <v>0</v>
      </c>
      <c r="M59" s="14">
        <f>Sykkel!F58</f>
        <v>0</v>
      </c>
      <c r="N59" s="14">
        <f>Sykkel!G58</f>
        <v>0</v>
      </c>
      <c r="O59" s="14">
        <f>'G &amp; T'!D58</f>
        <v>0</v>
      </c>
      <c r="P59" s="14">
        <f>'G &amp; T'!F58</f>
        <v>0</v>
      </c>
      <c r="Q59" s="14">
        <f>'G &amp; T'!G58</f>
        <v>0</v>
      </c>
      <c r="R59" s="122"/>
      <c r="S59" s="122"/>
      <c r="T59" s="122"/>
      <c r="U59" s="14">
        <f>Hovedlaget!D58</f>
        <v>0</v>
      </c>
      <c r="V59" s="14">
        <f>Hovedlaget!F58</f>
        <v>0</v>
      </c>
      <c r="W59" s="179">
        <f>Hovedlaget!G58</f>
        <v>0</v>
      </c>
      <c r="X59" s="263"/>
      <c r="Y59" s="162">
        <f>'Turn '!E58+Ski!E58+Fotball!E58+Sykkel!E58+'G &amp; T'!E58+Hovedlaget!E58+Anlegg!E58+Blilie!E58+Prestmarka!E58</f>
        <v>0</v>
      </c>
      <c r="Z59" s="161">
        <f t="shared" si="20"/>
        <v>0</v>
      </c>
      <c r="AA59" s="44"/>
      <c r="AB59" s="242">
        <f t="shared" si="21"/>
        <v>0</v>
      </c>
      <c r="AC59" s="274">
        <f t="shared" si="21"/>
        <v>0</v>
      </c>
    </row>
    <row r="60" spans="1:36" ht="20" customHeight="1" x14ac:dyDescent="0.2">
      <c r="A60" s="23"/>
      <c r="B60" s="154" t="s">
        <v>53</v>
      </c>
      <c r="C60" s="155">
        <f>SUM(C58:C59)</f>
        <v>30.4</v>
      </c>
      <c r="D60" s="155">
        <f t="shared" ref="D60:AC60" si="22">SUM(D58:D59)</f>
        <v>0</v>
      </c>
      <c r="E60" s="155">
        <f t="shared" si="22"/>
        <v>0</v>
      </c>
      <c r="F60" s="155">
        <f t="shared" si="22"/>
        <v>125.45</v>
      </c>
      <c r="G60" s="155">
        <f t="shared" si="22"/>
        <v>0</v>
      </c>
      <c r="H60" s="155">
        <f t="shared" si="22"/>
        <v>0</v>
      </c>
      <c r="I60" s="155">
        <f t="shared" si="22"/>
        <v>71</v>
      </c>
      <c r="J60" s="155">
        <f t="shared" si="22"/>
        <v>0</v>
      </c>
      <c r="K60" s="155">
        <f t="shared" si="22"/>
        <v>0</v>
      </c>
      <c r="L60" s="155">
        <f>SUM(L58:L59)</f>
        <v>142</v>
      </c>
      <c r="M60" s="155">
        <f t="shared" si="22"/>
        <v>0</v>
      </c>
      <c r="N60" s="155">
        <f t="shared" si="22"/>
        <v>0</v>
      </c>
      <c r="O60" s="155">
        <f t="shared" si="22"/>
        <v>0</v>
      </c>
      <c r="P60" s="155">
        <f t="shared" si="22"/>
        <v>0</v>
      </c>
      <c r="Q60" s="155">
        <f t="shared" si="22"/>
        <v>0</v>
      </c>
      <c r="R60" s="155">
        <f t="shared" si="22"/>
        <v>0</v>
      </c>
      <c r="S60" s="155">
        <f t="shared" si="22"/>
        <v>0</v>
      </c>
      <c r="T60" s="155">
        <f t="shared" si="22"/>
        <v>0</v>
      </c>
      <c r="U60" s="155">
        <f t="shared" si="22"/>
        <v>25461.61</v>
      </c>
      <c r="V60" s="155">
        <f t="shared" si="22"/>
        <v>13085</v>
      </c>
      <c r="W60" s="257">
        <f t="shared" si="22"/>
        <v>12000</v>
      </c>
      <c r="X60" s="270">
        <f t="shared" si="22"/>
        <v>25830.46</v>
      </c>
      <c r="Y60" s="160">
        <f t="shared" si="22"/>
        <v>40485.35</v>
      </c>
      <c r="Z60" s="155">
        <f t="shared" si="22"/>
        <v>25830.46</v>
      </c>
      <c r="AA60" s="160">
        <f t="shared" si="22"/>
        <v>15000</v>
      </c>
      <c r="AB60" s="248">
        <f t="shared" si="22"/>
        <v>13085</v>
      </c>
      <c r="AC60" s="271">
        <f t="shared" si="22"/>
        <v>12000</v>
      </c>
    </row>
    <row r="61" spans="1:36" ht="20" customHeight="1" x14ac:dyDescent="0.2">
      <c r="A61" s="23"/>
      <c r="B61" s="46"/>
      <c r="C61" s="48"/>
      <c r="D61" s="47"/>
      <c r="E61" s="25"/>
      <c r="F61" s="25"/>
      <c r="G61" s="25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20"/>
      <c r="S61" s="120"/>
      <c r="T61" s="120"/>
      <c r="U61" s="11"/>
      <c r="V61" s="11"/>
      <c r="W61" s="256"/>
      <c r="X61" s="266"/>
      <c r="Y61" s="162"/>
      <c r="Z61" s="162"/>
      <c r="AA61" s="55"/>
      <c r="AB61" s="249"/>
      <c r="AC61" s="272"/>
    </row>
    <row r="62" spans="1:36" ht="20" customHeight="1" thickBot="1" x14ac:dyDescent="0.25">
      <c r="A62" s="23"/>
      <c r="B62" s="156" t="s">
        <v>37</v>
      </c>
      <c r="C62" s="157">
        <f>C55+C60</f>
        <v>-2623.8900000000081</v>
      </c>
      <c r="D62" s="157">
        <f t="shared" ref="D62:AC62" si="23">D55+D60</f>
        <v>3218.3600000000151</v>
      </c>
      <c r="E62" s="157">
        <f t="shared" si="23"/>
        <v>1300</v>
      </c>
      <c r="F62" s="157">
        <f t="shared" si="23"/>
        <v>20641.000000000004</v>
      </c>
      <c r="G62" s="157">
        <f t="shared" si="23"/>
        <v>4497.1999999999971</v>
      </c>
      <c r="H62" s="157">
        <f t="shared" si="23"/>
        <v>14000</v>
      </c>
      <c r="I62" s="157">
        <f t="shared" si="23"/>
        <v>13272</v>
      </c>
      <c r="J62" s="157">
        <f t="shared" si="23"/>
        <v>-21886.089999999967</v>
      </c>
      <c r="K62" s="157">
        <f t="shared" si="23"/>
        <v>-1500</v>
      </c>
      <c r="L62" s="157">
        <f t="shared" si="23"/>
        <v>-10233</v>
      </c>
      <c r="M62" s="157">
        <f t="shared" si="23"/>
        <v>-9500</v>
      </c>
      <c r="N62" s="157">
        <f t="shared" si="23"/>
        <v>0</v>
      </c>
      <c r="O62" s="157">
        <f t="shared" si="23"/>
        <v>0</v>
      </c>
      <c r="P62" s="157">
        <f t="shared" si="23"/>
        <v>0</v>
      </c>
      <c r="Q62" s="157">
        <f t="shared" si="23"/>
        <v>0</v>
      </c>
      <c r="R62" s="157">
        <f t="shared" si="23"/>
        <v>12000</v>
      </c>
      <c r="S62" s="157">
        <f t="shared" si="23"/>
        <v>7677.0400000000009</v>
      </c>
      <c r="T62" s="157">
        <f t="shared" si="23"/>
        <v>500</v>
      </c>
      <c r="U62" s="158">
        <f t="shared" si="23"/>
        <v>118752.10999999988</v>
      </c>
      <c r="V62" s="157">
        <f t="shared" si="23"/>
        <v>-3292.5400000000373</v>
      </c>
      <c r="W62" s="258">
        <f t="shared" si="23"/>
        <v>-64500</v>
      </c>
      <c r="X62" s="282">
        <f t="shared" si="23"/>
        <v>-222249.59000000005</v>
      </c>
      <c r="Y62" s="273">
        <f t="shared" si="23"/>
        <v>412424.74999999988</v>
      </c>
      <c r="Z62" s="273">
        <f t="shared" si="23"/>
        <v>151808.21999999977</v>
      </c>
      <c r="AA62" s="273">
        <f t="shared" si="23"/>
        <v>0</v>
      </c>
      <c r="AB62" s="281">
        <f t="shared" si="23"/>
        <v>-19286.030000000028</v>
      </c>
      <c r="AC62" s="280">
        <f t="shared" si="23"/>
        <v>-50200</v>
      </c>
    </row>
    <row r="64" spans="1:36" ht="7.25" customHeight="1" x14ac:dyDescent="0.2"/>
    <row r="65" spans="1:28" x14ac:dyDescent="0.2">
      <c r="B65" s="58" t="s">
        <v>104</v>
      </c>
      <c r="J65" s="4"/>
      <c r="N65" t="s">
        <v>127</v>
      </c>
      <c r="V65" s="4"/>
    </row>
    <row r="66" spans="1:28" x14ac:dyDescent="0.2">
      <c r="A66" t="s">
        <v>127</v>
      </c>
      <c r="B66" t="s">
        <v>127</v>
      </c>
      <c r="Z66">
        <f>Z63-Z65</f>
        <v>0</v>
      </c>
    </row>
    <row r="67" spans="1:28" s="142" customFormat="1" x14ac:dyDescent="0.2">
      <c r="B67" s="187" t="s">
        <v>127</v>
      </c>
      <c r="AB67" s="240"/>
    </row>
    <row r="68" spans="1:28" x14ac:dyDescent="0.2">
      <c r="B68" s="142" t="s">
        <v>127</v>
      </c>
      <c r="C68" s="142"/>
      <c r="D68" s="142"/>
      <c r="E68" s="142"/>
    </row>
    <row r="69" spans="1:28" x14ac:dyDescent="0.2">
      <c r="B69" t="s">
        <v>127</v>
      </c>
    </row>
  </sheetData>
  <mergeCells count="7">
    <mergeCell ref="X3:AC3"/>
    <mergeCell ref="AE2:AJ2"/>
    <mergeCell ref="AE3:AE4"/>
    <mergeCell ref="AI3:AI4"/>
    <mergeCell ref="AJ3:AJ4"/>
    <mergeCell ref="AH3:AH4"/>
    <mergeCell ref="AG3:AG4"/>
  </mergeCells>
  <pageMargins left="0.70866141732283472" right="0" top="0.74803149606299213" bottom="0.74803149606299213" header="0.31496062992125984" footer="0.31496062992125984"/>
  <pageSetup paperSize="9" scale="65" fitToHeight="0" orientation="landscape"/>
  <headerFooter>
    <oddFooter>&amp;CSide 2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K39"/>
  <sheetViews>
    <sheetView topLeftCell="A10" workbookViewId="0">
      <selection activeCell="G14" sqref="G14"/>
    </sheetView>
  </sheetViews>
  <sheetFormatPr baseColWidth="10" defaultRowHeight="15" x14ac:dyDescent="0.2"/>
  <cols>
    <col min="1" max="1" width="4.1640625" customWidth="1"/>
    <col min="4" max="4" width="20.33203125" customWidth="1"/>
    <col min="5" max="5" width="8.5" customWidth="1"/>
    <col min="6" max="6" width="5.5" customWidth="1"/>
    <col min="7" max="7" width="14.6640625" customWidth="1"/>
    <col min="8" max="8" width="16.6640625" customWidth="1"/>
    <col min="9" max="9" width="44.6640625" customWidth="1"/>
  </cols>
  <sheetData>
    <row r="2" spans="2:11" ht="19" x14ac:dyDescent="0.25">
      <c r="B2" s="57" t="s">
        <v>107</v>
      </c>
      <c r="C2" s="142"/>
      <c r="D2" s="142"/>
      <c r="E2" s="142"/>
      <c r="F2" s="142"/>
      <c r="G2" s="142"/>
      <c r="H2" s="142"/>
      <c r="I2" s="142"/>
    </row>
    <row r="3" spans="2:11" x14ac:dyDescent="0.2">
      <c r="B3" s="111" t="s">
        <v>81</v>
      </c>
      <c r="C3" s="142"/>
      <c r="D3" s="142"/>
      <c r="E3" s="142"/>
      <c r="F3" s="142"/>
      <c r="G3" s="142"/>
      <c r="H3" s="142"/>
      <c r="I3" s="142"/>
    </row>
    <row r="4" spans="2:11" x14ac:dyDescent="0.2">
      <c r="B4" s="142"/>
      <c r="C4" s="142"/>
      <c r="D4" s="142"/>
      <c r="E4" s="142"/>
      <c r="F4" s="142"/>
      <c r="G4" s="142"/>
      <c r="H4" s="142"/>
      <c r="I4" s="142"/>
    </row>
    <row r="5" spans="2:11" ht="17" thickBot="1" x14ac:dyDescent="0.25">
      <c r="B5" s="61" t="s">
        <v>76</v>
      </c>
      <c r="C5" s="142"/>
      <c r="D5" s="142"/>
      <c r="E5" s="142"/>
      <c r="F5" s="142"/>
      <c r="G5" s="142"/>
      <c r="H5" s="142"/>
      <c r="I5" s="142"/>
    </row>
    <row r="6" spans="2:11" ht="16" thickBot="1" x14ac:dyDescent="0.25">
      <c r="B6" s="75" t="s">
        <v>63</v>
      </c>
      <c r="C6" s="62"/>
      <c r="D6" s="62"/>
      <c r="E6" s="112" t="s">
        <v>64</v>
      </c>
      <c r="F6" s="110" t="s">
        <v>75</v>
      </c>
      <c r="G6" s="76" t="s">
        <v>66</v>
      </c>
      <c r="H6" s="80" t="s">
        <v>74</v>
      </c>
      <c r="I6" s="79"/>
      <c r="J6" s="59"/>
      <c r="K6" s="58"/>
    </row>
    <row r="7" spans="2:11" ht="18.5" customHeight="1" x14ac:dyDescent="0.2">
      <c r="B7" s="74" t="s">
        <v>71</v>
      </c>
      <c r="C7" s="71"/>
      <c r="D7" s="82"/>
      <c r="E7" s="72"/>
      <c r="F7" s="73"/>
      <c r="G7" s="72"/>
      <c r="H7" s="83"/>
      <c r="I7" s="84"/>
      <c r="J7" s="59"/>
      <c r="K7" s="58"/>
    </row>
    <row r="8" spans="2:11" ht="17" customHeight="1" x14ac:dyDescent="0.2">
      <c r="B8" s="65" t="s">
        <v>94</v>
      </c>
      <c r="C8" s="142"/>
      <c r="D8" s="142"/>
      <c r="E8" s="63">
        <v>2004</v>
      </c>
      <c r="F8" s="142">
        <v>2</v>
      </c>
      <c r="G8" s="67">
        <v>53000</v>
      </c>
      <c r="H8" s="77" t="s">
        <v>97</v>
      </c>
      <c r="I8" s="85"/>
      <c r="J8" s="4"/>
    </row>
    <row r="9" spans="2:11" ht="17" customHeight="1" x14ac:dyDescent="0.2">
      <c r="B9" s="65" t="s">
        <v>65</v>
      </c>
      <c r="C9" s="142"/>
      <c r="D9" s="142"/>
      <c r="E9" s="63">
        <v>2012</v>
      </c>
      <c r="F9" s="142">
        <v>3</v>
      </c>
      <c r="G9" s="67">
        <v>120000</v>
      </c>
      <c r="H9" s="77" t="s">
        <v>99</v>
      </c>
      <c r="I9" s="85"/>
      <c r="J9" s="4"/>
    </row>
    <row r="10" spans="2:11" s="142" customFormat="1" ht="17" customHeight="1" x14ac:dyDescent="0.2">
      <c r="B10" s="65" t="s">
        <v>164</v>
      </c>
      <c r="E10" s="63">
        <v>2015</v>
      </c>
      <c r="G10" s="67"/>
      <c r="H10" s="77"/>
      <c r="I10" s="85"/>
      <c r="J10" s="4"/>
    </row>
    <row r="11" spans="2:11" ht="17" customHeight="1" x14ac:dyDescent="0.2">
      <c r="B11" s="74" t="s">
        <v>72</v>
      </c>
      <c r="C11" s="142"/>
      <c r="D11" s="142"/>
      <c r="E11" s="63"/>
      <c r="F11" s="142"/>
      <c r="G11" s="67"/>
      <c r="H11" s="77"/>
      <c r="I11" s="85"/>
      <c r="J11" s="4"/>
    </row>
    <row r="12" spans="2:11" x14ac:dyDescent="0.2">
      <c r="B12" s="65" t="s">
        <v>68</v>
      </c>
      <c r="C12" s="142"/>
      <c r="D12" s="142"/>
      <c r="E12" s="63">
        <v>1985</v>
      </c>
      <c r="F12" s="142">
        <v>4</v>
      </c>
      <c r="G12" s="67">
        <v>50000</v>
      </c>
      <c r="H12" s="77" t="s">
        <v>117</v>
      </c>
      <c r="I12" s="85"/>
      <c r="J12" s="4"/>
    </row>
    <row r="13" spans="2:11" x14ac:dyDescent="0.2">
      <c r="B13" s="66" t="s">
        <v>69</v>
      </c>
      <c r="C13" s="142"/>
      <c r="D13" s="142"/>
      <c r="E13" s="63">
        <v>1991</v>
      </c>
      <c r="F13" s="142">
        <v>5</v>
      </c>
      <c r="G13" s="67">
        <v>40000</v>
      </c>
      <c r="H13" s="77" t="s">
        <v>112</v>
      </c>
      <c r="I13" s="85"/>
      <c r="J13" s="4"/>
    </row>
    <row r="14" spans="2:11" x14ac:dyDescent="0.2">
      <c r="B14" s="65" t="s">
        <v>67</v>
      </c>
      <c r="C14" s="142"/>
      <c r="D14" s="142"/>
      <c r="E14" s="63">
        <v>1997</v>
      </c>
      <c r="F14" s="142">
        <v>6</v>
      </c>
      <c r="G14" s="67">
        <v>410000</v>
      </c>
      <c r="H14" s="77" t="s">
        <v>95</v>
      </c>
      <c r="I14" s="85"/>
      <c r="J14" s="4"/>
    </row>
    <row r="15" spans="2:11" x14ac:dyDescent="0.2">
      <c r="B15" s="69" t="s">
        <v>70</v>
      </c>
      <c r="C15" s="70"/>
      <c r="D15" s="70"/>
      <c r="E15" s="64">
        <v>1998</v>
      </c>
      <c r="F15" s="70">
        <v>7</v>
      </c>
      <c r="G15" s="68">
        <v>65000</v>
      </c>
      <c r="H15" s="86" t="s">
        <v>96</v>
      </c>
      <c r="I15" s="87"/>
      <c r="J15" s="4"/>
    </row>
    <row r="16" spans="2:11" x14ac:dyDescent="0.2">
      <c r="B16" s="142"/>
      <c r="C16" s="142"/>
      <c r="D16" s="142"/>
      <c r="E16" s="142"/>
      <c r="F16" s="142"/>
      <c r="G16" s="142"/>
      <c r="H16" s="142"/>
      <c r="I16" s="142"/>
    </row>
    <row r="17" spans="2:9" ht="5" customHeight="1" x14ac:dyDescent="0.2">
      <c r="B17" s="142"/>
      <c r="C17" s="142"/>
      <c r="D17" s="142"/>
      <c r="E17" s="142"/>
      <c r="F17" s="142"/>
      <c r="G17" s="142"/>
      <c r="H17" s="142"/>
      <c r="I17" s="142"/>
    </row>
    <row r="18" spans="2:9" ht="17" thickBot="1" x14ac:dyDescent="0.25">
      <c r="B18" s="61" t="s">
        <v>77</v>
      </c>
      <c r="C18" s="142"/>
      <c r="D18" s="142"/>
      <c r="E18" s="142"/>
      <c r="F18" s="142"/>
      <c r="G18" s="142"/>
      <c r="H18" s="142"/>
      <c r="I18" s="142"/>
    </row>
    <row r="19" spans="2:9" x14ac:dyDescent="0.2">
      <c r="B19" s="81" t="s">
        <v>73</v>
      </c>
      <c r="C19" s="88"/>
      <c r="D19" s="88"/>
      <c r="E19" s="88"/>
      <c r="F19" s="104" t="s">
        <v>75</v>
      </c>
      <c r="G19" s="105" t="s">
        <v>78</v>
      </c>
      <c r="H19" s="78"/>
      <c r="I19" s="142"/>
    </row>
    <row r="20" spans="2:9" ht="7.25" customHeight="1" x14ac:dyDescent="0.2">
      <c r="B20" s="89"/>
      <c r="C20" s="90"/>
      <c r="D20" s="90"/>
      <c r="E20" s="90"/>
      <c r="F20" s="94"/>
      <c r="G20" s="94"/>
      <c r="H20" s="142"/>
      <c r="I20" s="142"/>
    </row>
    <row r="21" spans="2:9" x14ac:dyDescent="0.2">
      <c r="B21" s="65" t="s">
        <v>116</v>
      </c>
      <c r="C21" s="91"/>
      <c r="D21" s="91"/>
      <c r="E21" s="91"/>
      <c r="F21" s="63"/>
      <c r="G21" s="67">
        <v>217000</v>
      </c>
      <c r="H21" s="142"/>
      <c r="I21" s="142"/>
    </row>
    <row r="22" spans="2:9" s="142" customFormat="1" x14ac:dyDescent="0.2">
      <c r="B22" s="65" t="s">
        <v>115</v>
      </c>
      <c r="C22" s="91"/>
      <c r="D22" s="91"/>
      <c r="E22" s="91"/>
      <c r="F22" s="63"/>
      <c r="G22" s="67">
        <v>71000</v>
      </c>
    </row>
    <row r="23" spans="2:9" x14ac:dyDescent="0.2">
      <c r="B23" s="96"/>
      <c r="C23" s="70"/>
      <c r="D23" s="70"/>
      <c r="E23" s="70"/>
      <c r="F23" s="64"/>
      <c r="G23" s="68"/>
      <c r="H23" s="142"/>
      <c r="I23" s="142"/>
    </row>
    <row r="24" spans="2:9" x14ac:dyDescent="0.2">
      <c r="B24" s="92" t="s">
        <v>79</v>
      </c>
      <c r="C24" s="93"/>
      <c r="D24" s="93"/>
      <c r="E24" s="93"/>
      <c r="F24" s="95"/>
      <c r="G24" s="102">
        <f>SUM(G21:G23)</f>
        <v>288000</v>
      </c>
      <c r="H24" s="142"/>
      <c r="I24" s="142"/>
    </row>
    <row r="25" spans="2:9" x14ac:dyDescent="0.2">
      <c r="B25" s="97" t="s">
        <v>114</v>
      </c>
      <c r="C25" s="93"/>
      <c r="D25" s="93"/>
      <c r="E25" s="93"/>
      <c r="F25" s="106"/>
      <c r="G25" s="107">
        <v>57000</v>
      </c>
      <c r="H25" s="142"/>
      <c r="I25" s="142"/>
    </row>
    <row r="26" spans="2:9" x14ac:dyDescent="0.2">
      <c r="B26" s="97" t="s">
        <v>84</v>
      </c>
      <c r="C26" s="98"/>
      <c r="D26" s="98"/>
      <c r="E26" s="98"/>
      <c r="F26" s="108"/>
      <c r="G26" s="109">
        <v>0</v>
      </c>
      <c r="H26" s="142"/>
      <c r="I26" s="142"/>
    </row>
    <row r="27" spans="2:9" x14ac:dyDescent="0.2">
      <c r="B27" s="99" t="s">
        <v>80</v>
      </c>
      <c r="C27" s="100"/>
      <c r="D27" s="100"/>
      <c r="E27" s="100"/>
      <c r="F27" s="101"/>
      <c r="G27" s="103">
        <f>G24-G25-G26</f>
        <v>231000</v>
      </c>
      <c r="H27" s="142"/>
      <c r="I27" s="142"/>
    </row>
    <row r="28" spans="2:9" x14ac:dyDescent="0.2">
      <c r="B28" s="142"/>
      <c r="C28" s="142"/>
      <c r="D28" s="142"/>
      <c r="E28" s="142"/>
      <c r="F28" s="142"/>
      <c r="G28" s="142"/>
      <c r="H28" s="142"/>
      <c r="I28" s="142"/>
    </row>
    <row r="29" spans="2:9" ht="26.5" customHeight="1" thickBot="1" x14ac:dyDescent="0.3">
      <c r="B29" s="57" t="s">
        <v>83</v>
      </c>
      <c r="C29" s="142"/>
      <c r="D29" s="142"/>
      <c r="E29" s="142"/>
      <c r="F29" s="142"/>
      <c r="G29" s="142"/>
      <c r="H29" s="142"/>
      <c r="I29" s="142"/>
    </row>
    <row r="30" spans="2:9" x14ac:dyDescent="0.2">
      <c r="B30" s="81" t="s">
        <v>73</v>
      </c>
      <c r="C30" s="88"/>
      <c r="D30" s="88"/>
      <c r="E30" s="88"/>
      <c r="F30" s="104" t="s">
        <v>75</v>
      </c>
      <c r="G30" s="105" t="s">
        <v>78</v>
      </c>
      <c r="H30" s="142"/>
      <c r="I30" s="142"/>
    </row>
    <row r="31" spans="2:9" ht="13.25" customHeight="1" x14ac:dyDescent="0.2">
      <c r="B31" s="89"/>
      <c r="C31" s="90"/>
      <c r="D31" s="90"/>
      <c r="E31" s="90"/>
      <c r="F31" s="94"/>
      <c r="G31" s="149"/>
      <c r="H31" s="142"/>
      <c r="I31" s="142"/>
    </row>
    <row r="32" spans="2:9" ht="13.25" customHeight="1" x14ac:dyDescent="0.2">
      <c r="B32" s="65" t="s">
        <v>113</v>
      </c>
      <c r="C32" s="91"/>
      <c r="D32" s="91"/>
      <c r="E32" s="91"/>
      <c r="F32" s="63"/>
      <c r="G32" s="67">
        <v>250000</v>
      </c>
      <c r="H32" s="142"/>
      <c r="I32" s="142"/>
    </row>
    <row r="33" spans="2:9" ht="13.25" customHeight="1" x14ac:dyDescent="0.2">
      <c r="B33" s="65" t="s">
        <v>118</v>
      </c>
      <c r="C33" s="91"/>
      <c r="D33" s="91"/>
      <c r="E33" s="91"/>
      <c r="F33" s="63"/>
      <c r="G33" s="67">
        <v>400000</v>
      </c>
      <c r="H33" s="142"/>
      <c r="I33" s="142"/>
    </row>
    <row r="34" spans="2:9" ht="13.25" customHeight="1" x14ac:dyDescent="0.2">
      <c r="B34" s="65"/>
      <c r="C34" s="91"/>
      <c r="D34" s="91"/>
      <c r="E34" s="91"/>
      <c r="F34" s="63"/>
      <c r="G34" s="67"/>
      <c r="H34" s="142"/>
      <c r="I34" s="142"/>
    </row>
    <row r="35" spans="2:9" ht="13.25" customHeight="1" x14ac:dyDescent="0.2">
      <c r="B35" s="65"/>
      <c r="C35" s="91"/>
      <c r="D35" s="91"/>
      <c r="E35" s="91"/>
      <c r="F35" s="63"/>
      <c r="G35" s="67"/>
      <c r="H35" s="142"/>
      <c r="I35" s="142"/>
    </row>
    <row r="36" spans="2:9" ht="13.25" customHeight="1" x14ac:dyDescent="0.2">
      <c r="B36" s="96"/>
      <c r="C36" s="70"/>
      <c r="D36" s="70"/>
      <c r="E36" s="70"/>
      <c r="F36" s="64"/>
      <c r="G36" s="68"/>
      <c r="H36" s="142"/>
      <c r="I36" s="142"/>
    </row>
    <row r="37" spans="2:9" ht="13.25" customHeight="1" x14ac:dyDescent="0.2">
      <c r="B37" s="92" t="s">
        <v>79</v>
      </c>
      <c r="C37" s="93"/>
      <c r="D37" s="93"/>
      <c r="E37" s="93"/>
      <c r="F37" s="95"/>
      <c r="G37" s="102">
        <f>SUM(G31:G36)</f>
        <v>650000</v>
      </c>
      <c r="H37" s="142"/>
      <c r="I37" s="142"/>
    </row>
    <row r="38" spans="2:9" x14ac:dyDescent="0.2">
      <c r="B38" s="142"/>
      <c r="C38" s="142"/>
      <c r="D38" s="142"/>
      <c r="E38" s="142"/>
      <c r="F38" s="142"/>
      <c r="G38" s="142"/>
      <c r="H38" s="142"/>
      <c r="I38" s="142"/>
    </row>
    <row r="39" spans="2:9" x14ac:dyDescent="0.2">
      <c r="B39" s="60" t="s">
        <v>82</v>
      </c>
      <c r="C39" s="142"/>
      <c r="D39" s="142"/>
      <c r="E39" s="142"/>
      <c r="F39" s="142"/>
      <c r="G39" s="142"/>
      <c r="H39" s="142"/>
      <c r="I39" s="142"/>
    </row>
  </sheetData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 x14ac:dyDescent="0.2"/>
  <sheetData/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82769-6A63-D242-A312-1D1B1B15748C}">
  <dimension ref="A1:D108"/>
  <sheetViews>
    <sheetView workbookViewId="0">
      <selection activeCell="C2" sqref="C2"/>
    </sheetView>
  </sheetViews>
  <sheetFormatPr baseColWidth="10" defaultRowHeight="16" x14ac:dyDescent="0.2"/>
  <cols>
    <col min="1" max="1" width="33.33203125" style="238" customWidth="1"/>
    <col min="2" max="2" width="24.33203125" style="238" customWidth="1"/>
    <col min="3" max="3" width="21.1640625" style="238" customWidth="1"/>
    <col min="4" max="4" width="30.33203125" style="238" customWidth="1"/>
    <col min="5" max="16384" width="10.83203125" style="238"/>
  </cols>
  <sheetData>
    <row r="1" spans="1:4" x14ac:dyDescent="0.2">
      <c r="A1" s="238" t="s">
        <v>500</v>
      </c>
      <c r="B1" s="239" t="s">
        <v>499</v>
      </c>
      <c r="C1" s="239" t="s">
        <v>498</v>
      </c>
      <c r="D1" s="238" t="s">
        <v>497</v>
      </c>
    </row>
    <row r="2" spans="1:4" x14ac:dyDescent="0.2">
      <c r="A2" s="238" t="s">
        <v>496</v>
      </c>
      <c r="B2" s="238" t="s">
        <v>491</v>
      </c>
      <c r="C2" s="238" t="s">
        <v>494</v>
      </c>
      <c r="D2" s="238" t="s">
        <v>247</v>
      </c>
    </row>
    <row r="3" spans="1:4" x14ac:dyDescent="0.2">
      <c r="A3" s="238" t="s">
        <v>495</v>
      </c>
      <c r="B3" s="238" t="s">
        <v>491</v>
      </c>
      <c r="C3" s="238" t="s">
        <v>494</v>
      </c>
      <c r="D3" s="238" t="s">
        <v>247</v>
      </c>
    </row>
    <row r="4" spans="1:4" x14ac:dyDescent="0.2">
      <c r="A4" s="238" t="s">
        <v>493</v>
      </c>
      <c r="B4" s="238" t="s">
        <v>491</v>
      </c>
      <c r="C4" s="238" t="s">
        <v>490</v>
      </c>
      <c r="D4" s="238" t="s">
        <v>247</v>
      </c>
    </row>
    <row r="5" spans="1:4" x14ac:dyDescent="0.2">
      <c r="A5" s="238" t="s">
        <v>492</v>
      </c>
      <c r="B5" s="238" t="s">
        <v>491</v>
      </c>
      <c r="C5" s="238" t="s">
        <v>490</v>
      </c>
      <c r="D5" s="238" t="s">
        <v>247</v>
      </c>
    </row>
    <row r="6" spans="1:4" x14ac:dyDescent="0.2">
      <c r="A6" s="238" t="s">
        <v>489</v>
      </c>
      <c r="B6" s="238" t="s">
        <v>243</v>
      </c>
      <c r="C6" s="238" t="s">
        <v>487</v>
      </c>
      <c r="D6" s="238" t="s">
        <v>247</v>
      </c>
    </row>
    <row r="7" spans="1:4" x14ac:dyDescent="0.2">
      <c r="A7" s="238" t="s">
        <v>488</v>
      </c>
      <c r="B7" s="238" t="s">
        <v>243</v>
      </c>
      <c r="C7" s="238" t="s">
        <v>487</v>
      </c>
      <c r="D7" s="238" t="s">
        <v>247</v>
      </c>
    </row>
    <row r="8" spans="1:4" x14ac:dyDescent="0.2">
      <c r="A8" s="238" t="s">
        <v>486</v>
      </c>
      <c r="B8" s="238" t="s">
        <v>485</v>
      </c>
      <c r="C8" s="238" t="s">
        <v>484</v>
      </c>
      <c r="D8" s="238" t="s">
        <v>243</v>
      </c>
    </row>
    <row r="9" spans="1:4" x14ac:dyDescent="0.2">
      <c r="A9" s="238" t="s">
        <v>483</v>
      </c>
      <c r="B9" s="238" t="s">
        <v>480</v>
      </c>
      <c r="C9" s="238" t="s">
        <v>482</v>
      </c>
      <c r="D9" s="238" t="s">
        <v>238</v>
      </c>
    </row>
    <row r="10" spans="1:4" x14ac:dyDescent="0.2">
      <c r="A10" s="238" t="s">
        <v>481</v>
      </c>
      <c r="B10" s="238" t="s">
        <v>480</v>
      </c>
      <c r="C10" s="238" t="s">
        <v>477</v>
      </c>
      <c r="D10" s="238" t="s">
        <v>238</v>
      </c>
    </row>
    <row r="11" spans="1:4" x14ac:dyDescent="0.2">
      <c r="A11" s="238" t="s">
        <v>479</v>
      </c>
      <c r="B11" s="238" t="s">
        <v>478</v>
      </c>
      <c r="C11" s="238" t="s">
        <v>477</v>
      </c>
      <c r="D11" s="238" t="s">
        <v>247</v>
      </c>
    </row>
    <row r="12" spans="1:4" x14ac:dyDescent="0.2">
      <c r="A12" s="238" t="s">
        <v>476</v>
      </c>
      <c r="B12" s="238" t="s">
        <v>475</v>
      </c>
      <c r="C12" s="238" t="s">
        <v>243</v>
      </c>
      <c r="D12" s="238" t="s">
        <v>243</v>
      </c>
    </row>
    <row r="13" spans="1:4" x14ac:dyDescent="0.2">
      <c r="A13" s="238" t="s">
        <v>474</v>
      </c>
      <c r="B13" s="238" t="s">
        <v>243</v>
      </c>
      <c r="C13" s="238" t="s">
        <v>470</v>
      </c>
      <c r="D13" s="238" t="s">
        <v>247</v>
      </c>
    </row>
    <row r="14" spans="1:4" x14ac:dyDescent="0.2">
      <c r="A14" s="238" t="s">
        <v>473</v>
      </c>
      <c r="B14" s="238" t="s">
        <v>243</v>
      </c>
      <c r="C14" s="238" t="s">
        <v>243</v>
      </c>
      <c r="D14" s="238" t="s">
        <v>243</v>
      </c>
    </row>
    <row r="15" spans="1:4" x14ac:dyDescent="0.2">
      <c r="A15" s="238" t="s">
        <v>472</v>
      </c>
      <c r="B15" s="238" t="s">
        <v>243</v>
      </c>
      <c r="C15" s="238" t="s">
        <v>234</v>
      </c>
      <c r="D15" s="238" t="s">
        <v>234</v>
      </c>
    </row>
    <row r="16" spans="1:4" x14ac:dyDescent="0.2">
      <c r="A16" s="238" t="s">
        <v>471</v>
      </c>
      <c r="B16" s="238" t="s">
        <v>243</v>
      </c>
      <c r="C16" s="238" t="s">
        <v>470</v>
      </c>
      <c r="D16" s="238" t="s">
        <v>247</v>
      </c>
    </row>
    <row r="17" spans="1:4" x14ac:dyDescent="0.2">
      <c r="A17" s="238" t="s">
        <v>469</v>
      </c>
      <c r="B17" s="238" t="s">
        <v>468</v>
      </c>
      <c r="C17" s="238" t="s">
        <v>467</v>
      </c>
      <c r="D17" s="238" t="s">
        <v>243</v>
      </c>
    </row>
    <row r="18" spans="1:4" x14ac:dyDescent="0.2">
      <c r="A18" s="238" t="s">
        <v>469</v>
      </c>
      <c r="B18" s="238" t="s">
        <v>468</v>
      </c>
      <c r="C18" s="238" t="s">
        <v>467</v>
      </c>
      <c r="D18" s="238" t="s">
        <v>243</v>
      </c>
    </row>
    <row r="19" spans="1:4" x14ac:dyDescent="0.2">
      <c r="A19" s="238" t="s">
        <v>466</v>
      </c>
      <c r="B19" s="238" t="s">
        <v>465</v>
      </c>
      <c r="C19" s="238" t="s">
        <v>464</v>
      </c>
      <c r="D19" s="238" t="s">
        <v>238</v>
      </c>
    </row>
    <row r="20" spans="1:4" x14ac:dyDescent="0.2">
      <c r="A20" s="238" t="s">
        <v>463</v>
      </c>
      <c r="B20" s="238" t="s">
        <v>462</v>
      </c>
      <c r="C20" s="238" t="s">
        <v>461</v>
      </c>
      <c r="D20" s="238" t="s">
        <v>243</v>
      </c>
    </row>
    <row r="21" spans="1:4" x14ac:dyDescent="0.2">
      <c r="A21" s="238" t="s">
        <v>460</v>
      </c>
      <c r="B21" s="238" t="s">
        <v>459</v>
      </c>
      <c r="C21" s="238" t="s">
        <v>458</v>
      </c>
      <c r="D21" s="238" t="s">
        <v>238</v>
      </c>
    </row>
    <row r="22" spans="1:4" x14ac:dyDescent="0.2">
      <c r="A22" s="238" t="s">
        <v>457</v>
      </c>
      <c r="B22" s="238" t="s">
        <v>456</v>
      </c>
      <c r="C22" s="238" t="s">
        <v>455</v>
      </c>
      <c r="D22" s="238" t="s">
        <v>247</v>
      </c>
    </row>
    <row r="23" spans="1:4" x14ac:dyDescent="0.2">
      <c r="A23" s="238" t="s">
        <v>454</v>
      </c>
      <c r="B23" s="238" t="s">
        <v>453</v>
      </c>
      <c r="C23" s="238" t="s">
        <v>452</v>
      </c>
      <c r="D23" s="238" t="s">
        <v>238</v>
      </c>
    </row>
    <row r="24" spans="1:4" x14ac:dyDescent="0.2">
      <c r="A24" s="238" t="s">
        <v>451</v>
      </c>
      <c r="B24" s="238" t="s">
        <v>450</v>
      </c>
      <c r="C24" s="238" t="s">
        <v>449</v>
      </c>
      <c r="D24" s="238" t="s">
        <v>247</v>
      </c>
    </row>
    <row r="25" spans="1:4" x14ac:dyDescent="0.2">
      <c r="A25" s="238" t="s">
        <v>448</v>
      </c>
      <c r="B25" s="238" t="s">
        <v>447</v>
      </c>
      <c r="C25" s="238" t="s">
        <v>446</v>
      </c>
      <c r="D25" s="238" t="s">
        <v>238</v>
      </c>
    </row>
    <row r="26" spans="1:4" x14ac:dyDescent="0.2">
      <c r="A26" s="238" t="s">
        <v>445</v>
      </c>
      <c r="B26" s="238" t="s">
        <v>444</v>
      </c>
      <c r="C26" s="238" t="s">
        <v>444</v>
      </c>
      <c r="D26" s="238" t="s">
        <v>243</v>
      </c>
    </row>
    <row r="27" spans="1:4" x14ac:dyDescent="0.2">
      <c r="A27" s="238" t="s">
        <v>443</v>
      </c>
      <c r="B27" s="238" t="s">
        <v>442</v>
      </c>
      <c r="C27" s="238" t="s">
        <v>441</v>
      </c>
      <c r="D27" s="238" t="s">
        <v>243</v>
      </c>
    </row>
    <row r="28" spans="1:4" x14ac:dyDescent="0.2">
      <c r="A28" s="238" t="s">
        <v>440</v>
      </c>
      <c r="B28" s="238" t="s">
        <v>439</v>
      </c>
      <c r="C28" s="238" t="s">
        <v>438</v>
      </c>
      <c r="D28" s="238" t="s">
        <v>234</v>
      </c>
    </row>
    <row r="29" spans="1:4" x14ac:dyDescent="0.2">
      <c r="A29" s="238" t="s">
        <v>437</v>
      </c>
      <c r="B29" s="238" t="s">
        <v>435</v>
      </c>
      <c r="C29" s="238" t="s">
        <v>432</v>
      </c>
      <c r="D29" s="238" t="s">
        <v>243</v>
      </c>
    </row>
    <row r="30" spans="1:4" x14ac:dyDescent="0.2">
      <c r="A30" s="238" t="s">
        <v>436</v>
      </c>
      <c r="B30" s="238" t="s">
        <v>435</v>
      </c>
      <c r="C30" s="238" t="s">
        <v>432</v>
      </c>
      <c r="D30" s="238" t="s">
        <v>243</v>
      </c>
    </row>
    <row r="31" spans="1:4" x14ac:dyDescent="0.2">
      <c r="A31" s="238" t="s">
        <v>434</v>
      </c>
      <c r="B31" s="238" t="s">
        <v>432</v>
      </c>
      <c r="C31" s="238" t="s">
        <v>432</v>
      </c>
      <c r="D31" s="238" t="s">
        <v>243</v>
      </c>
    </row>
    <row r="32" spans="1:4" x14ac:dyDescent="0.2">
      <c r="A32" s="238" t="s">
        <v>433</v>
      </c>
      <c r="B32" s="238" t="s">
        <v>432</v>
      </c>
      <c r="C32" s="238" t="s">
        <v>432</v>
      </c>
      <c r="D32" s="238" t="s">
        <v>243</v>
      </c>
    </row>
    <row r="33" spans="1:4" x14ac:dyDescent="0.2">
      <c r="A33" s="238" t="s">
        <v>431</v>
      </c>
      <c r="B33" s="238" t="s">
        <v>430</v>
      </c>
      <c r="C33" s="238" t="s">
        <v>243</v>
      </c>
      <c r="D33" s="238" t="s">
        <v>243</v>
      </c>
    </row>
    <row r="34" spans="1:4" x14ac:dyDescent="0.2">
      <c r="A34" s="238" t="s">
        <v>429</v>
      </c>
      <c r="B34" s="238" t="s">
        <v>234</v>
      </c>
      <c r="C34" s="238" t="s">
        <v>243</v>
      </c>
      <c r="D34" s="238" t="s">
        <v>234</v>
      </c>
    </row>
    <row r="35" spans="1:4" x14ac:dyDescent="0.2">
      <c r="A35" s="238" t="s">
        <v>428</v>
      </c>
      <c r="B35" s="238" t="s">
        <v>427</v>
      </c>
      <c r="C35" s="238" t="s">
        <v>426</v>
      </c>
      <c r="D35" s="238" t="s">
        <v>243</v>
      </c>
    </row>
    <row r="36" spans="1:4" x14ac:dyDescent="0.2">
      <c r="A36" s="238" t="s">
        <v>425</v>
      </c>
      <c r="B36" s="238" t="s">
        <v>424</v>
      </c>
      <c r="C36" s="238" t="s">
        <v>234</v>
      </c>
      <c r="D36" s="238" t="s">
        <v>234</v>
      </c>
    </row>
    <row r="37" spans="1:4" x14ac:dyDescent="0.2">
      <c r="A37" s="238" t="s">
        <v>423</v>
      </c>
      <c r="B37" s="238" t="s">
        <v>422</v>
      </c>
      <c r="C37" s="238" t="s">
        <v>421</v>
      </c>
      <c r="D37" s="238" t="s">
        <v>247</v>
      </c>
    </row>
    <row r="38" spans="1:4" x14ac:dyDescent="0.2">
      <c r="A38" s="238" t="s">
        <v>420</v>
      </c>
      <c r="B38" s="238" t="s">
        <v>419</v>
      </c>
      <c r="C38" s="238" t="s">
        <v>418</v>
      </c>
      <c r="D38" s="238" t="s">
        <v>243</v>
      </c>
    </row>
    <row r="39" spans="1:4" x14ac:dyDescent="0.2">
      <c r="A39" s="238" t="s">
        <v>417</v>
      </c>
      <c r="B39" s="238" t="s">
        <v>243</v>
      </c>
      <c r="C39" s="238" t="s">
        <v>234</v>
      </c>
      <c r="D39" s="238" t="s">
        <v>234</v>
      </c>
    </row>
    <row r="40" spans="1:4" x14ac:dyDescent="0.2">
      <c r="A40" s="238" t="s">
        <v>416</v>
      </c>
      <c r="B40" s="238" t="s">
        <v>415</v>
      </c>
      <c r="C40" s="238" t="s">
        <v>414</v>
      </c>
      <c r="D40" s="238" t="s">
        <v>247</v>
      </c>
    </row>
    <row r="41" spans="1:4" x14ac:dyDescent="0.2">
      <c r="A41" s="238" t="s">
        <v>413</v>
      </c>
      <c r="B41" s="238" t="s">
        <v>412</v>
      </c>
      <c r="C41" s="238" t="s">
        <v>234</v>
      </c>
      <c r="D41" s="238" t="s">
        <v>234</v>
      </c>
    </row>
    <row r="42" spans="1:4" x14ac:dyDescent="0.2">
      <c r="A42" s="238" t="s">
        <v>411</v>
      </c>
      <c r="B42" s="238" t="s">
        <v>410</v>
      </c>
      <c r="C42" s="238" t="s">
        <v>409</v>
      </c>
      <c r="D42" s="238" t="s">
        <v>247</v>
      </c>
    </row>
    <row r="43" spans="1:4" x14ac:dyDescent="0.2">
      <c r="A43" s="238" t="s">
        <v>408</v>
      </c>
      <c r="B43" s="238" t="s">
        <v>407</v>
      </c>
      <c r="C43" s="238" t="s">
        <v>406</v>
      </c>
      <c r="D43" s="238" t="s">
        <v>247</v>
      </c>
    </row>
    <row r="44" spans="1:4" x14ac:dyDescent="0.2">
      <c r="A44" s="238" t="s">
        <v>405</v>
      </c>
      <c r="B44" s="238" t="s">
        <v>404</v>
      </c>
      <c r="C44" s="238" t="s">
        <v>403</v>
      </c>
      <c r="D44" s="238" t="s">
        <v>247</v>
      </c>
    </row>
    <row r="45" spans="1:4" x14ac:dyDescent="0.2">
      <c r="A45" s="238" t="s">
        <v>402</v>
      </c>
      <c r="B45" s="238" t="s">
        <v>401</v>
      </c>
      <c r="C45" s="238" t="s">
        <v>400</v>
      </c>
      <c r="D45" s="238" t="s">
        <v>247</v>
      </c>
    </row>
    <row r="46" spans="1:4" x14ac:dyDescent="0.2">
      <c r="A46" s="238" t="s">
        <v>399</v>
      </c>
      <c r="B46" s="238" t="s">
        <v>398</v>
      </c>
      <c r="C46" s="238" t="s">
        <v>397</v>
      </c>
      <c r="D46" s="238" t="s">
        <v>238</v>
      </c>
    </row>
    <row r="47" spans="1:4" x14ac:dyDescent="0.2">
      <c r="A47" s="238" t="s">
        <v>396</v>
      </c>
      <c r="B47" s="238" t="s">
        <v>395</v>
      </c>
      <c r="C47" s="238" t="s">
        <v>394</v>
      </c>
      <c r="D47" s="238" t="s">
        <v>238</v>
      </c>
    </row>
    <row r="48" spans="1:4" x14ac:dyDescent="0.2">
      <c r="A48" s="238" t="s">
        <v>393</v>
      </c>
      <c r="B48" s="238" t="s">
        <v>392</v>
      </c>
      <c r="C48" s="238" t="s">
        <v>391</v>
      </c>
      <c r="D48" s="238" t="s">
        <v>247</v>
      </c>
    </row>
    <row r="49" spans="1:4" x14ac:dyDescent="0.2">
      <c r="A49" s="238" t="s">
        <v>390</v>
      </c>
      <c r="B49" s="238" t="s">
        <v>389</v>
      </c>
      <c r="C49" s="238" t="s">
        <v>388</v>
      </c>
      <c r="D49" s="238" t="s">
        <v>238</v>
      </c>
    </row>
    <row r="50" spans="1:4" x14ac:dyDescent="0.2">
      <c r="A50" s="238" t="s">
        <v>387</v>
      </c>
      <c r="B50" s="238" t="s">
        <v>386</v>
      </c>
      <c r="C50" s="238" t="s">
        <v>385</v>
      </c>
      <c r="D50" s="238" t="s">
        <v>238</v>
      </c>
    </row>
    <row r="51" spans="1:4" x14ac:dyDescent="0.2">
      <c r="A51" s="238" t="s">
        <v>384</v>
      </c>
      <c r="B51" s="238" t="s">
        <v>383</v>
      </c>
      <c r="C51" s="238" t="s">
        <v>382</v>
      </c>
      <c r="D51" s="238" t="s">
        <v>247</v>
      </c>
    </row>
    <row r="52" spans="1:4" x14ac:dyDescent="0.2">
      <c r="A52" s="238" t="s">
        <v>381</v>
      </c>
      <c r="B52" s="238" t="s">
        <v>380</v>
      </c>
      <c r="C52" s="238" t="s">
        <v>379</v>
      </c>
      <c r="D52" s="238" t="s">
        <v>238</v>
      </c>
    </row>
    <row r="53" spans="1:4" x14ac:dyDescent="0.2">
      <c r="A53" s="238" t="s">
        <v>378</v>
      </c>
      <c r="B53" s="238" t="s">
        <v>377</v>
      </c>
      <c r="C53" s="238" t="s">
        <v>376</v>
      </c>
      <c r="D53" s="238" t="s">
        <v>243</v>
      </c>
    </row>
    <row r="54" spans="1:4" x14ac:dyDescent="0.2">
      <c r="A54" s="238" t="s">
        <v>375</v>
      </c>
      <c r="B54" s="238" t="s">
        <v>234</v>
      </c>
      <c r="C54" s="238" t="s">
        <v>374</v>
      </c>
      <c r="D54" s="238" t="s">
        <v>234</v>
      </c>
    </row>
    <row r="55" spans="1:4" x14ac:dyDescent="0.2">
      <c r="A55" s="238" t="s">
        <v>373</v>
      </c>
      <c r="B55" s="238" t="s">
        <v>372</v>
      </c>
      <c r="C55" s="238" t="s">
        <v>371</v>
      </c>
      <c r="D55" s="238" t="s">
        <v>238</v>
      </c>
    </row>
    <row r="56" spans="1:4" x14ac:dyDescent="0.2">
      <c r="A56" s="238" t="s">
        <v>370</v>
      </c>
      <c r="B56" s="238" t="s">
        <v>234</v>
      </c>
      <c r="C56" s="238" t="s">
        <v>369</v>
      </c>
      <c r="D56" s="238" t="s">
        <v>234</v>
      </c>
    </row>
    <row r="57" spans="1:4" x14ac:dyDescent="0.2">
      <c r="A57" s="238" t="s">
        <v>368</v>
      </c>
      <c r="B57" s="238" t="s">
        <v>367</v>
      </c>
      <c r="C57" s="238" t="s">
        <v>234</v>
      </c>
      <c r="D57" s="238" t="s">
        <v>234</v>
      </c>
    </row>
    <row r="58" spans="1:4" x14ac:dyDescent="0.2">
      <c r="A58" s="238" t="s">
        <v>366</v>
      </c>
      <c r="B58" s="238" t="s">
        <v>365</v>
      </c>
      <c r="C58" s="238" t="s">
        <v>364</v>
      </c>
      <c r="D58" s="238" t="s">
        <v>243</v>
      </c>
    </row>
    <row r="59" spans="1:4" x14ac:dyDescent="0.2">
      <c r="A59" s="238" t="s">
        <v>363</v>
      </c>
      <c r="B59" s="238" t="s">
        <v>234</v>
      </c>
      <c r="C59" s="238" t="s">
        <v>362</v>
      </c>
      <c r="D59" s="238" t="s">
        <v>234</v>
      </c>
    </row>
    <row r="60" spans="1:4" x14ac:dyDescent="0.2">
      <c r="A60" s="238" t="s">
        <v>361</v>
      </c>
      <c r="B60" s="238" t="s">
        <v>234</v>
      </c>
      <c r="C60" s="238" t="s">
        <v>360</v>
      </c>
      <c r="D60" s="238" t="s">
        <v>234</v>
      </c>
    </row>
    <row r="61" spans="1:4" x14ac:dyDescent="0.2">
      <c r="A61" s="238" t="s">
        <v>359</v>
      </c>
      <c r="B61" s="238" t="s">
        <v>358</v>
      </c>
      <c r="C61" s="238" t="s">
        <v>357</v>
      </c>
      <c r="D61" s="238" t="s">
        <v>238</v>
      </c>
    </row>
    <row r="62" spans="1:4" x14ac:dyDescent="0.2">
      <c r="A62" s="238" t="s">
        <v>356</v>
      </c>
      <c r="B62" s="238" t="s">
        <v>355</v>
      </c>
      <c r="C62" s="238" t="s">
        <v>354</v>
      </c>
      <c r="D62" s="238" t="s">
        <v>247</v>
      </c>
    </row>
    <row r="63" spans="1:4" x14ac:dyDescent="0.2">
      <c r="A63" s="238" t="s">
        <v>353</v>
      </c>
      <c r="B63" s="238" t="s">
        <v>352</v>
      </c>
      <c r="C63" s="238" t="s">
        <v>351</v>
      </c>
      <c r="D63" s="238" t="s">
        <v>243</v>
      </c>
    </row>
    <row r="64" spans="1:4" x14ac:dyDescent="0.2">
      <c r="A64" s="238" t="s">
        <v>350</v>
      </c>
      <c r="B64" s="238" t="s">
        <v>349</v>
      </c>
      <c r="C64" s="238" t="s">
        <v>348</v>
      </c>
      <c r="D64" s="238" t="s">
        <v>247</v>
      </c>
    </row>
    <row r="65" spans="1:4" x14ac:dyDescent="0.2">
      <c r="A65" s="238" t="s">
        <v>347</v>
      </c>
      <c r="B65" s="238" t="s">
        <v>346</v>
      </c>
      <c r="C65" s="238" t="s">
        <v>345</v>
      </c>
      <c r="D65" s="238" t="s">
        <v>238</v>
      </c>
    </row>
    <row r="66" spans="1:4" x14ac:dyDescent="0.2">
      <c r="A66" s="238" t="s">
        <v>344</v>
      </c>
      <c r="B66" s="238" t="s">
        <v>343</v>
      </c>
      <c r="C66" s="238" t="s">
        <v>342</v>
      </c>
      <c r="D66" s="238" t="s">
        <v>247</v>
      </c>
    </row>
    <row r="67" spans="1:4" x14ac:dyDescent="0.2">
      <c r="A67" s="238" t="s">
        <v>341</v>
      </c>
      <c r="B67" s="238" t="s">
        <v>234</v>
      </c>
      <c r="C67" s="238" t="s">
        <v>340</v>
      </c>
      <c r="D67" s="238" t="s">
        <v>234</v>
      </c>
    </row>
    <row r="68" spans="1:4" x14ac:dyDescent="0.2">
      <c r="A68" s="238" t="s">
        <v>339</v>
      </c>
      <c r="B68" s="238" t="s">
        <v>338</v>
      </c>
      <c r="C68" s="238" t="s">
        <v>337</v>
      </c>
      <c r="D68" s="238" t="s">
        <v>247</v>
      </c>
    </row>
    <row r="69" spans="1:4" x14ac:dyDescent="0.2">
      <c r="A69" s="238" t="s">
        <v>336</v>
      </c>
      <c r="B69" s="238" t="s">
        <v>335</v>
      </c>
      <c r="C69" s="238" t="s">
        <v>334</v>
      </c>
      <c r="D69" s="238" t="s">
        <v>247</v>
      </c>
    </row>
    <row r="70" spans="1:4" x14ac:dyDescent="0.2">
      <c r="A70" s="238" t="s">
        <v>333</v>
      </c>
      <c r="B70" s="238" t="s">
        <v>332</v>
      </c>
      <c r="C70" s="238" t="s">
        <v>331</v>
      </c>
      <c r="D70" s="238" t="s">
        <v>238</v>
      </c>
    </row>
    <row r="71" spans="1:4" x14ac:dyDescent="0.2">
      <c r="A71" s="238" t="s">
        <v>330</v>
      </c>
      <c r="B71" s="238" t="s">
        <v>329</v>
      </c>
      <c r="C71" s="238" t="s">
        <v>328</v>
      </c>
      <c r="D71" s="238" t="s">
        <v>238</v>
      </c>
    </row>
    <row r="72" spans="1:4" x14ac:dyDescent="0.2">
      <c r="A72" s="238" t="s">
        <v>327</v>
      </c>
      <c r="B72" s="238" t="s">
        <v>326</v>
      </c>
      <c r="C72" s="238" t="s">
        <v>325</v>
      </c>
      <c r="D72" s="238" t="s">
        <v>247</v>
      </c>
    </row>
    <row r="73" spans="1:4" x14ac:dyDescent="0.2">
      <c r="A73" s="238" t="s">
        <v>324</v>
      </c>
      <c r="B73" s="238" t="s">
        <v>323</v>
      </c>
      <c r="C73" s="238" t="s">
        <v>322</v>
      </c>
      <c r="D73" s="238" t="s">
        <v>247</v>
      </c>
    </row>
    <row r="74" spans="1:4" x14ac:dyDescent="0.2">
      <c r="A74" s="238" t="s">
        <v>321</v>
      </c>
      <c r="B74" s="238" t="s">
        <v>320</v>
      </c>
      <c r="C74" s="238" t="s">
        <v>319</v>
      </c>
      <c r="D74" s="238" t="s">
        <v>247</v>
      </c>
    </row>
    <row r="75" spans="1:4" x14ac:dyDescent="0.2">
      <c r="A75" s="238" t="s">
        <v>318</v>
      </c>
      <c r="B75" s="238" t="s">
        <v>317</v>
      </c>
      <c r="C75" s="238" t="s">
        <v>316</v>
      </c>
      <c r="D75" s="238" t="s">
        <v>238</v>
      </c>
    </row>
    <row r="76" spans="1:4" x14ac:dyDescent="0.2">
      <c r="A76" s="238" t="s">
        <v>315</v>
      </c>
      <c r="B76" s="238" t="s">
        <v>314</v>
      </c>
      <c r="C76" s="238" t="s">
        <v>313</v>
      </c>
      <c r="D76" s="238" t="s">
        <v>243</v>
      </c>
    </row>
    <row r="77" spans="1:4" x14ac:dyDescent="0.2">
      <c r="A77" s="238" t="s">
        <v>312</v>
      </c>
      <c r="B77" s="238" t="s">
        <v>311</v>
      </c>
      <c r="C77" s="238" t="s">
        <v>310</v>
      </c>
      <c r="D77" s="238" t="s">
        <v>247</v>
      </c>
    </row>
    <row r="78" spans="1:4" x14ac:dyDescent="0.2">
      <c r="A78" s="238" t="s">
        <v>309</v>
      </c>
      <c r="B78" s="238" t="s">
        <v>308</v>
      </c>
      <c r="C78" s="238" t="s">
        <v>307</v>
      </c>
      <c r="D78" s="238" t="s">
        <v>238</v>
      </c>
    </row>
    <row r="79" spans="1:4" x14ac:dyDescent="0.2">
      <c r="A79" s="238" t="s">
        <v>306</v>
      </c>
      <c r="B79" s="238" t="s">
        <v>305</v>
      </c>
      <c r="C79" s="238" t="s">
        <v>304</v>
      </c>
      <c r="D79" s="238" t="s">
        <v>243</v>
      </c>
    </row>
    <row r="80" spans="1:4" x14ac:dyDescent="0.2">
      <c r="A80" s="238" t="s">
        <v>303</v>
      </c>
      <c r="B80" s="238" t="s">
        <v>302</v>
      </c>
      <c r="C80" s="238" t="s">
        <v>301</v>
      </c>
      <c r="D80" s="238" t="s">
        <v>247</v>
      </c>
    </row>
    <row r="81" spans="1:4" x14ac:dyDescent="0.2">
      <c r="A81" s="238" t="s">
        <v>300</v>
      </c>
      <c r="B81" s="238" t="s">
        <v>299</v>
      </c>
      <c r="C81" s="238" t="s">
        <v>298</v>
      </c>
      <c r="D81" s="238" t="s">
        <v>247</v>
      </c>
    </row>
    <row r="82" spans="1:4" x14ac:dyDescent="0.2">
      <c r="A82" s="238" t="s">
        <v>297</v>
      </c>
      <c r="B82" s="238" t="s">
        <v>234</v>
      </c>
      <c r="C82" s="238" t="s">
        <v>296</v>
      </c>
      <c r="D82" s="238" t="s">
        <v>234</v>
      </c>
    </row>
    <row r="83" spans="1:4" x14ac:dyDescent="0.2">
      <c r="A83" s="238" t="s">
        <v>295</v>
      </c>
      <c r="B83" s="238" t="s">
        <v>238</v>
      </c>
      <c r="C83" s="238" t="s">
        <v>243</v>
      </c>
      <c r="D83" s="238" t="s">
        <v>247</v>
      </c>
    </row>
    <row r="84" spans="1:4" x14ac:dyDescent="0.2">
      <c r="A84" s="238" t="s">
        <v>294</v>
      </c>
      <c r="B84" s="238" t="s">
        <v>293</v>
      </c>
      <c r="C84" s="238" t="s">
        <v>292</v>
      </c>
      <c r="D84" s="238" t="s">
        <v>247</v>
      </c>
    </row>
    <row r="85" spans="1:4" x14ac:dyDescent="0.2">
      <c r="A85" s="238" t="s">
        <v>291</v>
      </c>
      <c r="B85" s="238" t="s">
        <v>290</v>
      </c>
      <c r="C85" s="238" t="s">
        <v>289</v>
      </c>
      <c r="D85" s="238" t="s">
        <v>238</v>
      </c>
    </row>
    <row r="86" spans="1:4" x14ac:dyDescent="0.2">
      <c r="A86" s="238" t="s">
        <v>288</v>
      </c>
      <c r="B86" s="238" t="s">
        <v>287</v>
      </c>
      <c r="C86" s="238" t="s">
        <v>286</v>
      </c>
      <c r="D86" s="238" t="s">
        <v>238</v>
      </c>
    </row>
    <row r="87" spans="1:4" x14ac:dyDescent="0.2">
      <c r="A87" s="238" t="s">
        <v>285</v>
      </c>
      <c r="B87" s="238" t="s">
        <v>284</v>
      </c>
      <c r="C87" s="238" t="s">
        <v>283</v>
      </c>
      <c r="D87" s="238" t="s">
        <v>247</v>
      </c>
    </row>
    <row r="88" spans="1:4" x14ac:dyDescent="0.2">
      <c r="A88" s="238" t="s">
        <v>282</v>
      </c>
      <c r="B88" s="238" t="s">
        <v>281</v>
      </c>
      <c r="C88" s="238" t="s">
        <v>280</v>
      </c>
      <c r="D88" s="238" t="s">
        <v>247</v>
      </c>
    </row>
    <row r="89" spans="1:4" x14ac:dyDescent="0.2">
      <c r="A89" s="238" t="s">
        <v>279</v>
      </c>
      <c r="B89" s="238" t="s">
        <v>278</v>
      </c>
      <c r="C89" s="238" t="s">
        <v>277</v>
      </c>
      <c r="D89" s="238" t="s">
        <v>247</v>
      </c>
    </row>
    <row r="90" spans="1:4" x14ac:dyDescent="0.2">
      <c r="A90" s="238" t="s">
        <v>276</v>
      </c>
      <c r="B90" s="238" t="s">
        <v>275</v>
      </c>
      <c r="C90" s="238" t="s">
        <v>234</v>
      </c>
      <c r="D90" s="238" t="s">
        <v>234</v>
      </c>
    </row>
    <row r="91" spans="1:4" x14ac:dyDescent="0.2">
      <c r="A91" s="238" t="s">
        <v>274</v>
      </c>
      <c r="B91" s="238" t="s">
        <v>273</v>
      </c>
      <c r="C91" s="238" t="s">
        <v>234</v>
      </c>
      <c r="D91" s="238" t="s">
        <v>234</v>
      </c>
    </row>
    <row r="92" spans="1:4" x14ac:dyDescent="0.2">
      <c r="A92" s="238" t="s">
        <v>272</v>
      </c>
      <c r="B92" s="238" t="s">
        <v>234</v>
      </c>
      <c r="C92" s="238" t="s">
        <v>243</v>
      </c>
      <c r="D92" s="238" t="s">
        <v>234</v>
      </c>
    </row>
    <row r="93" spans="1:4" x14ac:dyDescent="0.2">
      <c r="A93" s="238" t="s">
        <v>271</v>
      </c>
      <c r="B93" s="238" t="s">
        <v>234</v>
      </c>
      <c r="C93" s="238" t="s">
        <v>270</v>
      </c>
      <c r="D93" s="238" t="s">
        <v>234</v>
      </c>
    </row>
    <row r="94" spans="1:4" x14ac:dyDescent="0.2">
      <c r="A94" s="238" t="s">
        <v>269</v>
      </c>
      <c r="B94" s="238" t="s">
        <v>267</v>
      </c>
      <c r="C94" s="238" t="s">
        <v>266</v>
      </c>
      <c r="D94" s="238" t="s">
        <v>238</v>
      </c>
    </row>
    <row r="95" spans="1:4" x14ac:dyDescent="0.2">
      <c r="A95" s="238" t="s">
        <v>268</v>
      </c>
      <c r="B95" s="238" t="s">
        <v>267</v>
      </c>
      <c r="C95" s="238" t="s">
        <v>266</v>
      </c>
      <c r="D95" s="238" t="s">
        <v>238</v>
      </c>
    </row>
    <row r="96" spans="1:4" x14ac:dyDescent="0.2">
      <c r="A96" s="238" t="s">
        <v>265</v>
      </c>
      <c r="B96" s="238" t="s">
        <v>263</v>
      </c>
      <c r="C96" s="238" t="s">
        <v>262</v>
      </c>
      <c r="D96" s="238" t="s">
        <v>247</v>
      </c>
    </row>
    <row r="97" spans="1:4" x14ac:dyDescent="0.2">
      <c r="A97" s="238" t="s">
        <v>264</v>
      </c>
      <c r="B97" s="238" t="s">
        <v>263</v>
      </c>
      <c r="C97" s="238" t="s">
        <v>262</v>
      </c>
      <c r="D97" s="238" t="s">
        <v>247</v>
      </c>
    </row>
    <row r="98" spans="1:4" x14ac:dyDescent="0.2">
      <c r="A98" s="238" t="s">
        <v>261</v>
      </c>
      <c r="B98" s="238" t="s">
        <v>243</v>
      </c>
      <c r="C98" s="238" t="s">
        <v>243</v>
      </c>
      <c r="D98" s="238" t="s">
        <v>243</v>
      </c>
    </row>
    <row r="99" spans="1:4" x14ac:dyDescent="0.2">
      <c r="A99" s="238" t="s">
        <v>260</v>
      </c>
      <c r="B99" s="238" t="s">
        <v>259</v>
      </c>
      <c r="C99" s="238" t="s">
        <v>258</v>
      </c>
      <c r="D99" s="238" t="s">
        <v>238</v>
      </c>
    </row>
    <row r="100" spans="1:4" x14ac:dyDescent="0.2">
      <c r="A100" s="238" t="s">
        <v>257</v>
      </c>
      <c r="B100" s="238" t="s">
        <v>256</v>
      </c>
      <c r="C100" s="238" t="s">
        <v>234</v>
      </c>
      <c r="D100" s="238" t="s">
        <v>234</v>
      </c>
    </row>
    <row r="101" spans="1:4" x14ac:dyDescent="0.2">
      <c r="A101" s="238" t="s">
        <v>255</v>
      </c>
      <c r="B101" s="238" t="s">
        <v>254</v>
      </c>
      <c r="C101" s="238" t="s">
        <v>254</v>
      </c>
      <c r="D101" s="238" t="s">
        <v>243</v>
      </c>
    </row>
    <row r="102" spans="1:4" x14ac:dyDescent="0.2">
      <c r="A102" s="238" t="s">
        <v>253</v>
      </c>
      <c r="B102" s="238" t="s">
        <v>234</v>
      </c>
      <c r="C102" s="238" t="s">
        <v>243</v>
      </c>
      <c r="D102" s="238" t="s">
        <v>234</v>
      </c>
    </row>
    <row r="103" spans="1:4" x14ac:dyDescent="0.2">
      <c r="A103" s="238" t="s">
        <v>252</v>
      </c>
      <c r="B103" s="238" t="s">
        <v>243</v>
      </c>
      <c r="C103" s="238" t="s">
        <v>251</v>
      </c>
      <c r="D103" s="238" t="s">
        <v>238</v>
      </c>
    </row>
    <row r="104" spans="1:4" x14ac:dyDescent="0.2">
      <c r="A104" s="238" t="s">
        <v>250</v>
      </c>
      <c r="B104" s="238" t="s">
        <v>249</v>
      </c>
      <c r="C104" s="238" t="s">
        <v>248</v>
      </c>
      <c r="D104" s="238" t="s">
        <v>247</v>
      </c>
    </row>
    <row r="105" spans="1:4" x14ac:dyDescent="0.2">
      <c r="A105" s="238" t="s">
        <v>246</v>
      </c>
      <c r="B105" s="238" t="s">
        <v>243</v>
      </c>
      <c r="C105" s="238" t="s">
        <v>245</v>
      </c>
      <c r="D105" s="238" t="s">
        <v>238</v>
      </c>
    </row>
    <row r="106" spans="1:4" x14ac:dyDescent="0.2">
      <c r="A106" s="238" t="s">
        <v>244</v>
      </c>
      <c r="B106" s="238" t="s">
        <v>243</v>
      </c>
      <c r="C106" s="238" t="s">
        <v>242</v>
      </c>
      <c r="D106" s="238" t="s">
        <v>238</v>
      </c>
    </row>
    <row r="107" spans="1:4" x14ac:dyDescent="0.2">
      <c r="A107" s="238" t="s">
        <v>241</v>
      </c>
      <c r="B107" s="238" t="s">
        <v>240</v>
      </c>
      <c r="C107" s="238" t="s">
        <v>239</v>
      </c>
      <c r="D107" s="238" t="s">
        <v>238</v>
      </c>
    </row>
    <row r="108" spans="1:4" x14ac:dyDescent="0.2">
      <c r="A108" s="238" t="s">
        <v>237</v>
      </c>
      <c r="B108" s="238" t="s">
        <v>236</v>
      </c>
      <c r="C108" s="238" t="s">
        <v>235</v>
      </c>
      <c r="D108" s="238" t="s">
        <v>234</v>
      </c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4"/>
  <sheetViews>
    <sheetView workbookViewId="0">
      <pane xSplit="3" ySplit="3" topLeftCell="J4" activePane="bottomRight" state="frozen"/>
      <selection pane="topRight" activeCell="D1" sqref="D1"/>
      <selection pane="bottomLeft" activeCell="A4" sqref="A4"/>
      <selection pane="bottomRight" activeCell="K6" sqref="K6"/>
    </sheetView>
  </sheetViews>
  <sheetFormatPr baseColWidth="10" defaultRowHeight="15" x14ac:dyDescent="0.2"/>
  <cols>
    <col min="1" max="1" width="7.33203125" customWidth="1"/>
    <col min="2" max="2" width="33.1640625" customWidth="1"/>
    <col min="3" max="3" width="7.5" style="142" customWidth="1"/>
    <col min="4" max="4" width="14.5" bestFit="1" customWidth="1"/>
    <col min="5" max="5" width="15.6640625" customWidth="1"/>
    <col min="6" max="6" width="15.6640625" bestFit="1" customWidth="1"/>
    <col min="7" max="7" width="13.33203125" bestFit="1" customWidth="1"/>
    <col min="8" max="12" width="13.33203125" style="142" customWidth="1"/>
  </cols>
  <sheetData>
    <row r="1" spans="1:15" ht="23" x14ac:dyDescent="0.25">
      <c r="B1" s="1" t="s">
        <v>136</v>
      </c>
      <c r="C1" s="1"/>
      <c r="D1" s="2"/>
      <c r="E1" s="3"/>
      <c r="F1" s="3"/>
      <c r="G1" s="3"/>
      <c r="H1" s="3"/>
      <c r="I1" s="3"/>
      <c r="J1" s="3"/>
      <c r="K1" s="3"/>
      <c r="L1" s="3"/>
    </row>
    <row r="2" spans="1:15" ht="23" x14ac:dyDescent="0.25">
      <c r="B2" s="1"/>
      <c r="C2" s="1"/>
      <c r="D2" s="2"/>
      <c r="E2" s="3"/>
      <c r="F2" s="3"/>
      <c r="G2" s="3"/>
      <c r="H2" s="3"/>
      <c r="I2" s="3"/>
      <c r="J2" s="3"/>
      <c r="K2" s="3"/>
      <c r="L2" s="3"/>
    </row>
    <row r="3" spans="1:15" x14ac:dyDescent="0.2">
      <c r="A3" s="27" t="s">
        <v>0</v>
      </c>
      <c r="B3" s="26" t="s">
        <v>1</v>
      </c>
      <c r="C3" s="166" t="s">
        <v>75</v>
      </c>
      <c r="D3" s="27" t="s">
        <v>87</v>
      </c>
      <c r="E3" s="27" t="s">
        <v>109</v>
      </c>
      <c r="F3" s="27" t="s">
        <v>133</v>
      </c>
      <c r="G3" s="27" t="s">
        <v>106</v>
      </c>
      <c r="H3" s="27" t="s">
        <v>135</v>
      </c>
      <c r="I3" s="27" t="s">
        <v>125</v>
      </c>
      <c r="J3" s="27" t="s">
        <v>155</v>
      </c>
      <c r="K3" s="27" t="s">
        <v>163</v>
      </c>
      <c r="L3" s="27" t="s">
        <v>195</v>
      </c>
    </row>
    <row r="4" spans="1:15" x14ac:dyDescent="0.2">
      <c r="A4" s="13">
        <v>3110</v>
      </c>
      <c r="B4" s="13" t="s">
        <v>2</v>
      </c>
      <c r="C4" s="167"/>
      <c r="D4" s="136"/>
      <c r="E4" s="136"/>
      <c r="F4" s="136"/>
      <c r="G4" s="136"/>
      <c r="H4" s="136"/>
      <c r="I4" s="136"/>
      <c r="J4" s="136"/>
      <c r="K4" s="136"/>
      <c r="L4" s="136"/>
      <c r="M4" s="142"/>
    </row>
    <row r="5" spans="1:15" x14ac:dyDescent="0.2">
      <c r="A5" s="13">
        <v>3115</v>
      </c>
      <c r="B5" s="13" t="s">
        <v>3</v>
      </c>
      <c r="C5" s="167"/>
      <c r="D5" s="136"/>
      <c r="E5" s="136"/>
      <c r="F5" s="136"/>
      <c r="G5" s="136"/>
      <c r="H5" s="136"/>
      <c r="I5" s="136"/>
      <c r="J5" s="136"/>
      <c r="K5" s="136"/>
      <c r="L5" s="136"/>
      <c r="M5" s="142"/>
    </row>
    <row r="6" spans="1:15" x14ac:dyDescent="0.2">
      <c r="A6" s="13">
        <v>3400</v>
      </c>
      <c r="B6" s="13" t="s">
        <v>4</v>
      </c>
      <c r="C6" s="167"/>
      <c r="D6" s="136">
        <v>25862</v>
      </c>
      <c r="E6" s="136">
        <v>20819</v>
      </c>
      <c r="F6" s="136">
        <v>13507</v>
      </c>
      <c r="G6" s="136">
        <v>18000</v>
      </c>
      <c r="H6" s="136">
        <v>27832</v>
      </c>
      <c r="I6" s="136">
        <v>18000</v>
      </c>
      <c r="J6" s="136">
        <v>20000</v>
      </c>
      <c r="K6" s="142">
        <v>28366</v>
      </c>
      <c r="L6" s="136">
        <v>20000</v>
      </c>
      <c r="M6" s="142"/>
    </row>
    <row r="7" spans="1:15" x14ac:dyDescent="0.2">
      <c r="A7" s="13">
        <v>3440</v>
      </c>
      <c r="B7" s="13" t="s">
        <v>55</v>
      </c>
      <c r="C7" s="167"/>
      <c r="D7" s="136"/>
      <c r="E7" s="136"/>
      <c r="F7" s="136"/>
      <c r="G7" s="136"/>
      <c r="H7" s="136"/>
      <c r="I7" s="136"/>
      <c r="J7" s="136"/>
      <c r="K7" s="136"/>
      <c r="L7" s="136"/>
      <c r="M7" s="142"/>
    </row>
    <row r="8" spans="1:15" x14ac:dyDescent="0.2">
      <c r="A8" s="13">
        <v>3605</v>
      </c>
      <c r="B8" s="13" t="s">
        <v>5</v>
      </c>
      <c r="C8" s="167"/>
      <c r="D8" s="136"/>
      <c r="E8" s="136"/>
      <c r="F8" s="136"/>
      <c r="G8" s="136"/>
      <c r="H8" s="136"/>
      <c r="I8" s="136"/>
      <c r="J8" s="136"/>
      <c r="K8" s="136"/>
      <c r="L8" s="136"/>
      <c r="M8" s="142"/>
    </row>
    <row r="9" spans="1:15" x14ac:dyDescent="0.2">
      <c r="A9" s="13">
        <v>3620</v>
      </c>
      <c r="B9" s="23" t="s">
        <v>89</v>
      </c>
      <c r="C9" s="169"/>
      <c r="D9" s="136"/>
      <c r="E9" s="136"/>
      <c r="F9" s="136"/>
      <c r="G9" s="136"/>
      <c r="H9" s="136"/>
      <c r="I9" s="136"/>
      <c r="J9" s="136"/>
      <c r="K9" s="136"/>
      <c r="L9" s="136"/>
      <c r="M9" s="142"/>
    </row>
    <row r="10" spans="1:15" x14ac:dyDescent="0.2">
      <c r="A10" s="13">
        <v>3920</v>
      </c>
      <c r="B10" s="13" t="s">
        <v>6</v>
      </c>
      <c r="C10" s="167"/>
      <c r="D10" s="136"/>
      <c r="E10" s="136"/>
      <c r="F10" s="136"/>
      <c r="G10" s="136"/>
      <c r="H10" s="136"/>
      <c r="I10" s="136"/>
      <c r="J10" s="136"/>
      <c r="K10" s="136">
        <v>0.5</v>
      </c>
      <c r="L10" s="136"/>
      <c r="M10" s="142"/>
    </row>
    <row r="11" spans="1:15" x14ac:dyDescent="0.2">
      <c r="A11" s="13">
        <v>3925</v>
      </c>
      <c r="B11" s="13" t="s">
        <v>7</v>
      </c>
      <c r="C11" s="167"/>
      <c r="D11" s="136">
        <v>11100</v>
      </c>
      <c r="E11" s="136">
        <v>9000</v>
      </c>
      <c r="F11" s="136">
        <v>14400</v>
      </c>
      <c r="G11" s="136">
        <v>9000</v>
      </c>
      <c r="H11" s="136">
        <v>8550</v>
      </c>
      <c r="I11" s="136">
        <f>46*400</f>
        <v>18400</v>
      </c>
      <c r="J11" s="136">
        <v>10000</v>
      </c>
      <c r="K11" s="136">
        <v>8800.5</v>
      </c>
      <c r="L11" s="136">
        <v>8000</v>
      </c>
      <c r="M11" s="142" t="s">
        <v>228</v>
      </c>
      <c r="N11" t="s">
        <v>126</v>
      </c>
      <c r="O11">
        <f>14400/100</f>
        <v>144</v>
      </c>
    </row>
    <row r="12" spans="1:15" x14ac:dyDescent="0.2">
      <c r="A12" s="13">
        <v>3926</v>
      </c>
      <c r="B12" s="23" t="s">
        <v>13</v>
      </c>
      <c r="C12" s="169"/>
      <c r="D12" s="136"/>
      <c r="E12" s="136"/>
      <c r="F12" s="136"/>
      <c r="G12" s="136"/>
      <c r="H12" s="136"/>
      <c r="I12" s="136"/>
      <c r="J12" s="136"/>
      <c r="K12" s="136"/>
      <c r="L12" s="136"/>
      <c r="M12" s="142"/>
    </row>
    <row r="13" spans="1:15" x14ac:dyDescent="0.2">
      <c r="A13" s="13">
        <v>3950</v>
      </c>
      <c r="B13" s="13" t="s">
        <v>9</v>
      </c>
      <c r="C13" s="167"/>
      <c r="D13" s="136">
        <v>14946</v>
      </c>
      <c r="E13" s="136">
        <v>13351</v>
      </c>
      <c r="F13" s="136">
        <v>11295</v>
      </c>
      <c r="G13" s="136">
        <v>13000</v>
      </c>
      <c r="H13" s="136">
        <v>31850</v>
      </c>
      <c r="I13" s="136">
        <v>13000</v>
      </c>
      <c r="J13" s="136">
        <v>12000</v>
      </c>
      <c r="K13" s="226">
        <v>9685</v>
      </c>
      <c r="L13" s="136">
        <v>15000</v>
      </c>
      <c r="M13" s="142" t="s">
        <v>229</v>
      </c>
    </row>
    <row r="14" spans="1:15" x14ac:dyDescent="0.2">
      <c r="A14" s="13">
        <v>3970</v>
      </c>
      <c r="B14" s="13" t="s">
        <v>10</v>
      </c>
      <c r="C14" s="167"/>
      <c r="D14" s="136"/>
      <c r="E14" s="136"/>
      <c r="F14" s="136"/>
      <c r="G14" s="136"/>
      <c r="H14" s="136"/>
      <c r="I14" s="136"/>
      <c r="J14" s="136"/>
      <c r="K14" s="136"/>
      <c r="L14" s="136"/>
      <c r="M14" s="142"/>
    </row>
    <row r="15" spans="1:15" x14ac:dyDescent="0.2">
      <c r="A15" s="13">
        <v>3975</v>
      </c>
      <c r="B15" s="13" t="s">
        <v>11</v>
      </c>
      <c r="C15" s="167"/>
      <c r="D15" s="136"/>
      <c r="E15" s="136"/>
      <c r="F15" s="136"/>
      <c r="G15" s="136"/>
      <c r="H15" s="136"/>
      <c r="I15" s="136"/>
      <c r="J15" s="136">
        <v>6000</v>
      </c>
      <c r="K15" s="136"/>
      <c r="L15" s="136"/>
      <c r="M15" s="142"/>
    </row>
    <row r="16" spans="1:15" x14ac:dyDescent="0.2">
      <c r="A16" s="13">
        <v>3980</v>
      </c>
      <c r="B16" s="13" t="s">
        <v>12</v>
      </c>
      <c r="C16" s="167"/>
      <c r="D16" s="136"/>
      <c r="E16" s="136"/>
      <c r="F16" s="136"/>
      <c r="G16" s="136"/>
      <c r="H16" s="136"/>
      <c r="I16" s="136"/>
      <c r="J16" s="136"/>
      <c r="K16" s="136"/>
      <c r="L16" s="136"/>
      <c r="M16" s="142"/>
    </row>
    <row r="17" spans="1:14" x14ac:dyDescent="0.2">
      <c r="A17" s="13">
        <v>3990</v>
      </c>
      <c r="B17" s="23" t="s">
        <v>8</v>
      </c>
      <c r="C17" s="169"/>
      <c r="D17" s="136"/>
      <c r="E17" s="136"/>
      <c r="F17" s="136"/>
      <c r="G17" s="136"/>
      <c r="H17" s="136">
        <v>3333</v>
      </c>
      <c r="I17" s="136"/>
      <c r="J17" s="136">
        <v>3500</v>
      </c>
      <c r="K17" s="136"/>
      <c r="L17" s="136"/>
      <c r="M17" s="142"/>
    </row>
    <row r="18" spans="1:14" x14ac:dyDescent="0.2">
      <c r="A18" s="13"/>
      <c r="B18" s="30" t="s">
        <v>14</v>
      </c>
      <c r="C18" s="170"/>
      <c r="D18" s="31">
        <f t="shared" ref="D18:L18" si="0">SUM(D4:D17)</f>
        <v>51908</v>
      </c>
      <c r="E18" s="138">
        <f t="shared" si="0"/>
        <v>43170</v>
      </c>
      <c r="F18" s="138">
        <f t="shared" si="0"/>
        <v>39202</v>
      </c>
      <c r="G18" s="138">
        <f t="shared" si="0"/>
        <v>40000</v>
      </c>
      <c r="H18" s="138">
        <f t="shared" si="0"/>
        <v>71565</v>
      </c>
      <c r="I18" s="138">
        <f t="shared" si="0"/>
        <v>49400</v>
      </c>
      <c r="J18" s="138">
        <f t="shared" si="0"/>
        <v>51500</v>
      </c>
      <c r="K18" s="138">
        <f t="shared" si="0"/>
        <v>46852</v>
      </c>
      <c r="L18" s="138">
        <f t="shared" si="0"/>
        <v>43000</v>
      </c>
    </row>
    <row r="19" spans="1:14" x14ac:dyDescent="0.2">
      <c r="A19" s="13"/>
      <c r="B19" s="12" t="s">
        <v>15</v>
      </c>
      <c r="C19" s="171"/>
      <c r="D19" s="22"/>
      <c r="E19" s="133"/>
      <c r="F19" s="133"/>
      <c r="G19" s="133"/>
      <c r="H19" s="133"/>
      <c r="I19" s="133"/>
      <c r="J19" s="133"/>
      <c r="K19" s="133"/>
      <c r="L19" s="121"/>
    </row>
    <row r="20" spans="1:14" x14ac:dyDescent="0.2">
      <c r="A20" s="13">
        <v>4210</v>
      </c>
      <c r="B20" s="13" t="s">
        <v>16</v>
      </c>
      <c r="C20" s="167"/>
      <c r="D20" s="133">
        <v>7616</v>
      </c>
      <c r="E20" s="133">
        <v>13079</v>
      </c>
      <c r="F20" s="133">
        <v>11667.2</v>
      </c>
      <c r="G20" s="133">
        <v>13000</v>
      </c>
      <c r="H20" s="133">
        <v>5237</v>
      </c>
      <c r="I20" s="133">
        <v>13000</v>
      </c>
      <c r="J20" s="133">
        <v>8000</v>
      </c>
      <c r="K20" s="133">
        <v>8846</v>
      </c>
      <c r="L20" s="121">
        <v>10000</v>
      </c>
    </row>
    <row r="21" spans="1:14" x14ac:dyDescent="0.2">
      <c r="A21" s="13">
        <v>4220</v>
      </c>
      <c r="B21" s="13" t="s">
        <v>17</v>
      </c>
      <c r="C21" s="167"/>
      <c r="D21" s="133"/>
      <c r="E21" s="133"/>
      <c r="F21" s="133"/>
      <c r="G21" s="133"/>
      <c r="H21" s="133"/>
      <c r="I21" s="133"/>
      <c r="J21" s="133"/>
      <c r="K21" s="133"/>
      <c r="L21" s="121"/>
    </row>
    <row r="22" spans="1:14" x14ac:dyDescent="0.2">
      <c r="A22" s="13">
        <v>4225</v>
      </c>
      <c r="B22" s="13" t="s">
        <v>19</v>
      </c>
      <c r="C22" s="167"/>
      <c r="D22" s="133"/>
      <c r="E22" s="133"/>
      <c r="F22" s="133"/>
      <c r="G22" s="133"/>
      <c r="H22" s="133"/>
      <c r="I22" s="133"/>
      <c r="J22" s="133"/>
      <c r="K22" s="133"/>
      <c r="L22" s="121"/>
    </row>
    <row r="23" spans="1:14" x14ac:dyDescent="0.2">
      <c r="A23" s="13">
        <v>4300</v>
      </c>
      <c r="B23" s="13" t="s">
        <v>18</v>
      </c>
      <c r="C23" s="167"/>
      <c r="D23" s="133"/>
      <c r="E23" s="133"/>
      <c r="F23" s="133"/>
      <c r="G23" s="133"/>
      <c r="H23" s="133"/>
      <c r="I23" s="133"/>
      <c r="J23" s="133"/>
      <c r="K23" s="133"/>
      <c r="L23" s="121"/>
    </row>
    <row r="24" spans="1:14" x14ac:dyDescent="0.2">
      <c r="A24" s="13">
        <v>5000</v>
      </c>
      <c r="B24" s="13" t="s">
        <v>20</v>
      </c>
      <c r="C24" s="167"/>
      <c r="D24" s="133"/>
      <c r="E24" s="133"/>
      <c r="F24" s="133"/>
      <c r="G24" s="133"/>
      <c r="H24" s="133"/>
      <c r="I24" s="133"/>
      <c r="J24" s="133"/>
      <c r="K24" s="133"/>
      <c r="L24" s="121"/>
    </row>
    <row r="25" spans="1:14" x14ac:dyDescent="0.2">
      <c r="A25" s="13">
        <v>6315</v>
      </c>
      <c r="B25" s="13" t="s">
        <v>22</v>
      </c>
      <c r="C25" s="167"/>
      <c r="D25" s="133"/>
      <c r="E25" s="133"/>
      <c r="F25" s="133"/>
      <c r="G25" s="133"/>
      <c r="H25" s="133"/>
      <c r="I25" s="133"/>
      <c r="J25" s="133"/>
      <c r="K25" s="133"/>
      <c r="L25" s="121"/>
    </row>
    <row r="26" spans="1:14" x14ac:dyDescent="0.2">
      <c r="A26" s="13">
        <v>6316</v>
      </c>
      <c r="B26" s="13" t="s">
        <v>39</v>
      </c>
      <c r="C26" s="167"/>
      <c r="D26" s="133"/>
      <c r="E26" s="133"/>
      <c r="F26" s="133"/>
      <c r="G26" s="133"/>
      <c r="H26" s="133"/>
      <c r="I26" s="133"/>
      <c r="J26" s="133"/>
      <c r="K26" s="133"/>
      <c r="L26" s="121"/>
    </row>
    <row r="27" spans="1:14" x14ac:dyDescent="0.2">
      <c r="A27" s="13">
        <v>6320</v>
      </c>
      <c r="B27" s="13" t="s">
        <v>23</v>
      </c>
      <c r="C27" s="167"/>
      <c r="D27" s="133"/>
      <c r="E27" s="133"/>
      <c r="F27" s="133"/>
      <c r="G27" s="133"/>
      <c r="H27" s="133"/>
      <c r="I27" s="133"/>
      <c r="J27" s="133"/>
      <c r="K27" s="133"/>
      <c r="L27" s="121"/>
    </row>
    <row r="28" spans="1:14" x14ac:dyDescent="0.2">
      <c r="A28" s="13">
        <v>6340</v>
      </c>
      <c r="B28" s="13" t="s">
        <v>41</v>
      </c>
      <c r="C28" s="167"/>
      <c r="D28" s="133"/>
      <c r="E28" s="133"/>
      <c r="F28" s="133"/>
      <c r="G28" s="133"/>
      <c r="H28" s="133"/>
      <c r="I28" s="133"/>
      <c r="J28" s="133"/>
      <c r="K28" s="133"/>
      <c r="L28" s="121"/>
    </row>
    <row r="29" spans="1:14" x14ac:dyDescent="0.2">
      <c r="A29" s="13">
        <v>6340</v>
      </c>
      <c r="B29" s="13" t="s">
        <v>42</v>
      </c>
      <c r="C29" s="167"/>
      <c r="D29" s="133"/>
      <c r="E29" s="133"/>
      <c r="F29" s="133"/>
      <c r="G29" s="133"/>
      <c r="H29" s="133"/>
      <c r="I29" s="133"/>
      <c r="J29" s="133"/>
      <c r="K29" s="133"/>
      <c r="L29" s="121"/>
    </row>
    <row r="30" spans="1:14" x14ac:dyDescent="0.2">
      <c r="A30" s="13">
        <v>6550</v>
      </c>
      <c r="B30" s="13" t="s">
        <v>40</v>
      </c>
      <c r="C30" s="167"/>
      <c r="D30" s="133">
        <v>3490</v>
      </c>
      <c r="E30" s="133">
        <v>827</v>
      </c>
      <c r="F30" s="133">
        <v>3600</v>
      </c>
      <c r="G30" s="133">
        <v>3000</v>
      </c>
      <c r="H30" s="133">
        <v>35297.449999999997</v>
      </c>
      <c r="I30" s="133">
        <v>4000</v>
      </c>
      <c r="J30" s="133">
        <v>30000</v>
      </c>
      <c r="K30" s="226">
        <v>20095.8</v>
      </c>
      <c r="L30" s="121">
        <v>5000</v>
      </c>
      <c r="M30" s="142"/>
      <c r="N30" t="s">
        <v>127</v>
      </c>
    </row>
    <row r="31" spans="1:14" x14ac:dyDescent="0.2">
      <c r="A31" s="13">
        <v>6600</v>
      </c>
      <c r="B31" s="13" t="s">
        <v>24</v>
      </c>
      <c r="C31" s="167"/>
      <c r="D31" s="133"/>
      <c r="E31" s="133"/>
      <c r="F31" s="121"/>
      <c r="G31" s="133"/>
      <c r="H31" s="133"/>
      <c r="I31" s="133"/>
      <c r="J31" s="133"/>
      <c r="K31" s="133"/>
      <c r="L31" s="121"/>
    </row>
    <row r="32" spans="1:14" x14ac:dyDescent="0.2">
      <c r="A32" s="13">
        <v>6620</v>
      </c>
      <c r="B32" s="13" t="s">
        <v>25</v>
      </c>
      <c r="C32" s="167"/>
      <c r="D32" s="133"/>
      <c r="E32" s="133"/>
      <c r="F32" s="133"/>
      <c r="G32" s="133"/>
      <c r="H32" s="133"/>
      <c r="I32" s="133"/>
      <c r="J32" s="133"/>
      <c r="K32" s="133"/>
      <c r="L32" s="121"/>
    </row>
    <row r="33" spans="1:12" x14ac:dyDescent="0.2">
      <c r="A33" s="13">
        <v>6630</v>
      </c>
      <c r="B33" s="13" t="s">
        <v>47</v>
      </c>
      <c r="C33" s="167"/>
      <c r="D33" s="133"/>
      <c r="E33" s="133"/>
      <c r="F33" s="133"/>
      <c r="G33" s="133"/>
      <c r="H33" s="133"/>
      <c r="I33" s="133"/>
      <c r="J33" s="133"/>
      <c r="K33" s="121"/>
      <c r="L33" s="121"/>
    </row>
    <row r="34" spans="1:12" x14ac:dyDescent="0.2">
      <c r="A34" s="13">
        <v>6705</v>
      </c>
      <c r="B34" s="23" t="s">
        <v>28</v>
      </c>
      <c r="C34" s="169"/>
      <c r="D34" s="133"/>
      <c r="E34" s="133"/>
      <c r="F34" s="133"/>
      <c r="G34" s="133"/>
      <c r="H34" s="133"/>
      <c r="I34" s="133"/>
      <c r="J34" s="133"/>
      <c r="K34" s="133"/>
      <c r="L34" s="121"/>
    </row>
    <row r="35" spans="1:12" x14ac:dyDescent="0.2">
      <c r="A35" s="13">
        <v>6800</v>
      </c>
      <c r="B35" s="13" t="s">
        <v>43</v>
      </c>
      <c r="C35" s="167"/>
      <c r="D35" s="133"/>
      <c r="E35" s="133"/>
      <c r="F35" s="133"/>
      <c r="G35" s="133"/>
      <c r="H35" s="133"/>
      <c r="I35" s="133"/>
      <c r="J35" s="133"/>
      <c r="K35" s="133"/>
      <c r="L35" s="121"/>
    </row>
    <row r="36" spans="1:12" x14ac:dyDescent="0.2">
      <c r="A36" s="13">
        <v>6840</v>
      </c>
      <c r="B36" s="13" t="s">
        <v>26</v>
      </c>
      <c r="C36" s="167"/>
      <c r="D36" s="133"/>
      <c r="E36" s="133"/>
      <c r="F36" s="133"/>
      <c r="G36" s="133"/>
      <c r="H36" s="133"/>
      <c r="I36" s="133"/>
      <c r="J36" s="133"/>
      <c r="K36" s="133"/>
      <c r="L36" s="121"/>
    </row>
    <row r="37" spans="1:12" x14ac:dyDescent="0.2">
      <c r="A37" s="13">
        <v>6860</v>
      </c>
      <c r="B37" s="13" t="s">
        <v>27</v>
      </c>
      <c r="C37" s="167"/>
      <c r="D37" s="133"/>
      <c r="E37" s="133"/>
      <c r="F37" s="133"/>
      <c r="G37" s="133"/>
      <c r="H37" s="133"/>
      <c r="I37" s="133"/>
      <c r="J37" s="133"/>
      <c r="K37" s="133"/>
      <c r="L37" s="121"/>
    </row>
    <row r="38" spans="1:12" x14ac:dyDescent="0.2">
      <c r="A38" s="13">
        <v>6900</v>
      </c>
      <c r="B38" s="23" t="s">
        <v>44</v>
      </c>
      <c r="C38" s="169"/>
      <c r="D38" s="133"/>
      <c r="E38" s="133"/>
      <c r="F38" s="133"/>
      <c r="G38" s="133"/>
      <c r="H38" s="133"/>
      <c r="I38" s="133"/>
      <c r="J38" s="133"/>
      <c r="K38" s="133"/>
      <c r="L38" s="121"/>
    </row>
    <row r="39" spans="1:12" x14ac:dyDescent="0.2">
      <c r="A39" s="13">
        <v>6940</v>
      </c>
      <c r="B39" s="13" t="s">
        <v>29</v>
      </c>
      <c r="C39" s="167"/>
      <c r="D39" s="133"/>
      <c r="E39" s="133"/>
      <c r="F39" s="133"/>
      <c r="G39" s="133"/>
      <c r="H39" s="133"/>
      <c r="I39" s="133"/>
      <c r="J39" s="133"/>
      <c r="K39" s="133"/>
      <c r="L39" s="121"/>
    </row>
    <row r="40" spans="1:12" x14ac:dyDescent="0.2">
      <c r="A40" s="13">
        <v>7000</v>
      </c>
      <c r="B40" s="13" t="s">
        <v>48</v>
      </c>
      <c r="C40" s="167"/>
      <c r="D40" s="133"/>
      <c r="E40" s="133"/>
      <c r="F40" s="133"/>
      <c r="G40" s="133"/>
      <c r="H40" s="133"/>
      <c r="I40" s="133"/>
      <c r="J40" s="133"/>
      <c r="K40" s="133"/>
      <c r="L40" s="121"/>
    </row>
    <row r="41" spans="1:12" x14ac:dyDescent="0.2">
      <c r="A41" s="13">
        <v>7140</v>
      </c>
      <c r="B41" s="13" t="s">
        <v>45</v>
      </c>
      <c r="C41" s="167"/>
      <c r="D41" s="133"/>
      <c r="E41" s="133"/>
      <c r="F41" s="133"/>
      <c r="G41" s="133"/>
      <c r="H41" s="133"/>
      <c r="I41" s="133"/>
      <c r="J41" s="133"/>
      <c r="K41" s="133"/>
      <c r="L41" s="121"/>
    </row>
    <row r="42" spans="1:12" x14ac:dyDescent="0.2">
      <c r="A42" s="13">
        <v>7320</v>
      </c>
      <c r="B42" s="23" t="s">
        <v>30</v>
      </c>
      <c r="C42" s="169"/>
      <c r="D42" s="133"/>
      <c r="E42" s="133"/>
      <c r="F42" s="133"/>
      <c r="G42" s="133"/>
      <c r="H42" s="133"/>
      <c r="I42" s="133"/>
      <c r="J42" s="133"/>
      <c r="K42" s="133"/>
      <c r="L42" s="121"/>
    </row>
    <row r="43" spans="1:12" x14ac:dyDescent="0.2">
      <c r="A43" s="13">
        <v>7400</v>
      </c>
      <c r="B43" s="13" t="s">
        <v>31</v>
      </c>
      <c r="C43" s="167"/>
      <c r="D43" s="133">
        <v>10040</v>
      </c>
      <c r="E43" s="133">
        <v>4930</v>
      </c>
      <c r="F43" s="133">
        <v>4750</v>
      </c>
      <c r="G43" s="133">
        <v>6000</v>
      </c>
      <c r="H43" s="133">
        <v>4675</v>
      </c>
      <c r="I43" s="133">
        <v>6000</v>
      </c>
      <c r="J43" s="133">
        <v>4000</v>
      </c>
      <c r="K43" s="133">
        <v>4460</v>
      </c>
      <c r="L43" s="121">
        <v>2000</v>
      </c>
    </row>
    <row r="44" spans="1:12" x14ac:dyDescent="0.2">
      <c r="A44" s="13">
        <v>7420</v>
      </c>
      <c r="B44" s="13" t="s">
        <v>12</v>
      </c>
      <c r="C44" s="167"/>
      <c r="D44" s="133">
        <v>3243</v>
      </c>
      <c r="E44" s="133">
        <v>3000</v>
      </c>
      <c r="F44" s="133">
        <v>4500</v>
      </c>
      <c r="G44" s="133">
        <v>3000</v>
      </c>
      <c r="H44" s="133">
        <v>1500</v>
      </c>
      <c r="I44" s="133">
        <v>4500</v>
      </c>
      <c r="J44" s="133">
        <v>1500</v>
      </c>
      <c r="K44" s="133">
        <v>3288</v>
      </c>
      <c r="L44" s="121">
        <v>4000</v>
      </c>
    </row>
    <row r="45" spans="1:12" x14ac:dyDescent="0.2">
      <c r="A45" s="13">
        <v>7500</v>
      </c>
      <c r="B45" s="13" t="s">
        <v>21</v>
      </c>
      <c r="C45" s="167"/>
      <c r="D45" s="133"/>
      <c r="E45" s="133"/>
      <c r="F45" s="133"/>
      <c r="G45" s="133"/>
      <c r="H45" s="133"/>
      <c r="I45" s="133"/>
      <c r="J45" s="133"/>
      <c r="K45" s="133"/>
      <c r="L45" s="121"/>
    </row>
    <row r="46" spans="1:12" s="142" customFormat="1" x14ac:dyDescent="0.2">
      <c r="A46" s="13">
        <v>7745</v>
      </c>
      <c r="B46" s="13" t="s">
        <v>90</v>
      </c>
      <c r="C46" s="167"/>
      <c r="D46" s="133"/>
      <c r="E46" s="133"/>
      <c r="F46" s="133"/>
      <c r="G46" s="133"/>
      <c r="H46" s="133"/>
      <c r="I46" s="133"/>
      <c r="J46" s="133"/>
      <c r="K46" s="133"/>
      <c r="L46" s="121"/>
    </row>
    <row r="47" spans="1:12" x14ac:dyDescent="0.2">
      <c r="A47" s="13">
        <v>7750</v>
      </c>
      <c r="B47" s="13" t="s">
        <v>32</v>
      </c>
      <c r="C47" s="167"/>
      <c r="D47" s="133">
        <v>8010</v>
      </c>
      <c r="E47" s="133">
        <v>12858</v>
      </c>
      <c r="F47" s="133">
        <v>13675</v>
      </c>
      <c r="G47" s="133">
        <v>15000</v>
      </c>
      <c r="H47" s="133">
        <v>4340</v>
      </c>
      <c r="I47" s="133">
        <v>15000</v>
      </c>
      <c r="J47" s="133">
        <v>5000</v>
      </c>
      <c r="K47" s="133">
        <v>3565</v>
      </c>
      <c r="L47" s="121">
        <v>4000</v>
      </c>
    </row>
    <row r="48" spans="1:12" x14ac:dyDescent="0.2">
      <c r="A48" s="13">
        <v>7755</v>
      </c>
      <c r="B48" s="13" t="s">
        <v>33</v>
      </c>
      <c r="C48" s="167"/>
      <c r="D48" s="133">
        <v>9437.5</v>
      </c>
      <c r="E48" s="133"/>
      <c r="F48" s="133"/>
      <c r="G48" s="133"/>
      <c r="H48" s="133"/>
      <c r="I48" s="133"/>
      <c r="J48" s="133">
        <v>3000</v>
      </c>
      <c r="K48" s="133">
        <v>2100</v>
      </c>
      <c r="L48" s="121">
        <v>4000</v>
      </c>
    </row>
    <row r="49" spans="1:12" x14ac:dyDescent="0.2">
      <c r="A49" s="13">
        <v>7770</v>
      </c>
      <c r="B49" s="13" t="s">
        <v>46</v>
      </c>
      <c r="C49" s="167"/>
      <c r="D49" s="133"/>
      <c r="E49" s="133"/>
      <c r="F49" s="133"/>
      <c r="G49" s="133"/>
      <c r="H49" s="133"/>
      <c r="I49" s="133"/>
      <c r="J49" s="133"/>
      <c r="K49" s="133"/>
      <c r="L49" s="121"/>
    </row>
    <row r="50" spans="1:12" x14ac:dyDescent="0.2">
      <c r="A50" s="13">
        <v>7790</v>
      </c>
      <c r="B50" s="13" t="s">
        <v>34</v>
      </c>
      <c r="C50" s="167"/>
      <c r="D50" s="133"/>
      <c r="E50" s="133"/>
      <c r="F50" s="133"/>
      <c r="G50" s="133"/>
      <c r="H50" s="133"/>
      <c r="I50" s="133"/>
      <c r="J50" s="133"/>
      <c r="K50" s="133"/>
      <c r="L50" s="121"/>
    </row>
    <row r="51" spans="1:12" x14ac:dyDescent="0.2">
      <c r="A51" s="13">
        <v>6010</v>
      </c>
      <c r="B51" s="23" t="s">
        <v>35</v>
      </c>
      <c r="C51" s="169"/>
      <c r="D51" s="133"/>
      <c r="E51" s="133"/>
      <c r="F51" s="133"/>
      <c r="G51" s="133"/>
      <c r="H51" s="133"/>
      <c r="I51" s="133"/>
      <c r="J51" s="133"/>
      <c r="K51" s="133"/>
      <c r="L51" s="121"/>
    </row>
    <row r="52" spans="1:12" x14ac:dyDescent="0.2">
      <c r="A52" s="13"/>
      <c r="B52" s="26" t="s">
        <v>36</v>
      </c>
      <c r="C52" s="166"/>
      <c r="D52" s="32">
        <f t="shared" ref="D52:L52" si="1">SUM(D20:D51)</f>
        <v>41836.5</v>
      </c>
      <c r="E52" s="139">
        <f t="shared" si="1"/>
        <v>34694</v>
      </c>
      <c r="F52" s="139">
        <f t="shared" si="1"/>
        <v>38192.199999999997</v>
      </c>
      <c r="G52" s="139">
        <f t="shared" si="1"/>
        <v>40000</v>
      </c>
      <c r="H52" s="139">
        <f t="shared" si="1"/>
        <v>51049.45</v>
      </c>
      <c r="I52" s="139">
        <f t="shared" si="1"/>
        <v>42500</v>
      </c>
      <c r="J52" s="139">
        <f t="shared" si="1"/>
        <v>51500</v>
      </c>
      <c r="K52" s="139">
        <f t="shared" si="1"/>
        <v>42354.8</v>
      </c>
      <c r="L52" s="139">
        <f t="shared" si="1"/>
        <v>29000</v>
      </c>
    </row>
    <row r="53" spans="1:12" x14ac:dyDescent="0.2">
      <c r="A53" s="13"/>
      <c r="B53" s="33"/>
      <c r="C53" s="172"/>
      <c r="D53" s="29"/>
      <c r="E53" s="137"/>
      <c r="F53" s="137"/>
      <c r="G53" s="137"/>
      <c r="H53" s="137"/>
      <c r="I53" s="137"/>
      <c r="J53" s="137"/>
      <c r="K53" s="137"/>
      <c r="L53" s="137"/>
    </row>
    <row r="54" spans="1:12" x14ac:dyDescent="0.2">
      <c r="A54" s="13"/>
      <c r="B54" s="26" t="s">
        <v>38</v>
      </c>
      <c r="C54" s="166"/>
      <c r="D54" s="32">
        <f t="shared" ref="D54:L54" si="2">(D18-D52)</f>
        <v>10071.5</v>
      </c>
      <c r="E54" s="139">
        <f t="shared" si="2"/>
        <v>8476</v>
      </c>
      <c r="F54" s="139">
        <f t="shared" si="2"/>
        <v>1009.8000000000029</v>
      </c>
      <c r="G54" s="139">
        <f t="shared" si="2"/>
        <v>0</v>
      </c>
      <c r="H54" s="139">
        <f t="shared" si="2"/>
        <v>20515.550000000003</v>
      </c>
      <c r="I54" s="139">
        <f t="shared" si="2"/>
        <v>6900</v>
      </c>
      <c r="J54" s="139">
        <f t="shared" si="2"/>
        <v>0</v>
      </c>
      <c r="K54" s="139">
        <f t="shared" si="2"/>
        <v>4497.1999999999971</v>
      </c>
      <c r="L54" s="139">
        <f t="shared" si="2"/>
        <v>14000</v>
      </c>
    </row>
    <row r="55" spans="1:12" x14ac:dyDescent="0.2">
      <c r="A55" s="23"/>
      <c r="B55" s="23"/>
      <c r="C55" s="169"/>
      <c r="D55" s="23"/>
      <c r="E55" s="134"/>
      <c r="F55" s="134"/>
      <c r="G55" s="134"/>
      <c r="H55" s="134"/>
      <c r="I55" s="134"/>
      <c r="J55" s="134"/>
      <c r="K55" s="134"/>
      <c r="L55" s="134"/>
    </row>
    <row r="56" spans="1:12" x14ac:dyDescent="0.2">
      <c r="A56" s="23"/>
      <c r="B56" s="24" t="s">
        <v>49</v>
      </c>
      <c r="C56" s="173"/>
      <c r="D56" s="25"/>
      <c r="E56" s="135"/>
      <c r="F56" s="135"/>
      <c r="G56" s="135"/>
      <c r="H56" s="135"/>
      <c r="I56" s="135"/>
      <c r="J56" s="135"/>
      <c r="K56" s="135"/>
      <c r="L56" s="135"/>
    </row>
    <row r="57" spans="1:12" x14ac:dyDescent="0.2">
      <c r="A57" s="23"/>
      <c r="B57" s="23" t="s">
        <v>50</v>
      </c>
      <c r="C57" s="169"/>
      <c r="D57" s="135">
        <v>159.74</v>
      </c>
      <c r="E57" s="135">
        <v>125.45</v>
      </c>
      <c r="F57" s="135">
        <v>67</v>
      </c>
      <c r="G57" s="135"/>
      <c r="H57" s="135"/>
      <c r="I57" s="135"/>
      <c r="J57" s="135"/>
      <c r="K57" s="135"/>
      <c r="L57" s="135"/>
    </row>
    <row r="58" spans="1:12" x14ac:dyDescent="0.2">
      <c r="A58" s="23"/>
      <c r="B58" s="23" t="s">
        <v>52</v>
      </c>
      <c r="C58" s="169"/>
      <c r="D58" s="135"/>
      <c r="E58" s="135"/>
      <c r="F58" s="135"/>
      <c r="G58" s="135"/>
      <c r="H58" s="135"/>
      <c r="I58" s="135"/>
      <c r="J58" s="135"/>
      <c r="K58" s="135"/>
      <c r="L58" s="135"/>
    </row>
    <row r="59" spans="1:12" x14ac:dyDescent="0.2">
      <c r="A59" s="23"/>
      <c r="B59" s="34" t="s">
        <v>53</v>
      </c>
      <c r="C59" s="174"/>
      <c r="D59" s="35">
        <f>D57-D58</f>
        <v>159.74</v>
      </c>
      <c r="E59" s="140">
        <f>E57-E58</f>
        <v>125.45</v>
      </c>
      <c r="F59" s="140">
        <f>F57-F58</f>
        <v>67</v>
      </c>
      <c r="G59" s="140">
        <f t="shared" ref="G59:L59" si="3">G57-G58</f>
        <v>0</v>
      </c>
      <c r="H59" s="140">
        <f t="shared" si="3"/>
        <v>0</v>
      </c>
      <c r="I59" s="140">
        <f t="shared" si="3"/>
        <v>0</v>
      </c>
      <c r="J59" s="140">
        <f t="shared" si="3"/>
        <v>0</v>
      </c>
      <c r="K59" s="140">
        <f t="shared" si="3"/>
        <v>0</v>
      </c>
      <c r="L59" s="140">
        <f t="shared" si="3"/>
        <v>0</v>
      </c>
    </row>
    <row r="60" spans="1:12" x14ac:dyDescent="0.2">
      <c r="A60" s="23"/>
      <c r="B60" s="23"/>
      <c r="C60" s="169"/>
      <c r="D60" s="25"/>
      <c r="E60" s="135"/>
      <c r="F60" s="135"/>
      <c r="G60" s="135"/>
      <c r="H60" s="135"/>
      <c r="I60" s="135"/>
      <c r="J60" s="135"/>
      <c r="K60" s="135"/>
      <c r="L60" s="135"/>
    </row>
    <row r="61" spans="1:12" x14ac:dyDescent="0.2">
      <c r="A61" s="23"/>
      <c r="B61" s="36" t="s">
        <v>37</v>
      </c>
      <c r="C61" s="175"/>
      <c r="D61" s="37">
        <f t="shared" ref="D61:J61" si="4">D54+D59</f>
        <v>10231.24</v>
      </c>
      <c r="E61" s="141">
        <f t="shared" si="4"/>
        <v>8601.4500000000007</v>
      </c>
      <c r="F61" s="141">
        <f t="shared" si="4"/>
        <v>1076.8000000000029</v>
      </c>
      <c r="G61" s="141">
        <f t="shared" si="4"/>
        <v>0</v>
      </c>
      <c r="H61" s="141">
        <f t="shared" si="4"/>
        <v>20515.550000000003</v>
      </c>
      <c r="I61" s="141">
        <f t="shared" si="4"/>
        <v>6900</v>
      </c>
      <c r="J61" s="141">
        <f t="shared" si="4"/>
        <v>0</v>
      </c>
      <c r="K61" s="141"/>
      <c r="L61" s="141"/>
    </row>
    <row r="63" spans="1:12" x14ac:dyDescent="0.2">
      <c r="B63" s="113" t="s">
        <v>85</v>
      </c>
      <c r="C63" s="113"/>
    </row>
    <row r="64" spans="1:12" x14ac:dyDescent="0.2">
      <c r="B64" t="s">
        <v>108</v>
      </c>
    </row>
  </sheetData>
  <pageMargins left="0.7" right="0.7" top="0.75" bottom="0.75" header="0.3" footer="0.3"/>
  <pageSetup paperSize="9" scale="7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4"/>
  <sheetViews>
    <sheetView topLeftCell="F1" workbookViewId="0">
      <pane ySplit="1" topLeftCell="A2" activePane="bottomLeft" state="frozen"/>
      <selection pane="bottomLeft" activeCell="K14" sqref="K14"/>
    </sheetView>
  </sheetViews>
  <sheetFormatPr baseColWidth="10" defaultRowHeight="15" x14ac:dyDescent="0.2"/>
  <cols>
    <col min="1" max="1" width="8.1640625" customWidth="1"/>
    <col min="2" max="2" width="30.33203125" customWidth="1"/>
    <col min="3" max="3" width="8" style="142" customWidth="1"/>
    <col min="4" max="4" width="14.5" bestFit="1" customWidth="1"/>
    <col min="5" max="5" width="15.6640625" customWidth="1"/>
    <col min="6" max="6" width="15.6640625" bestFit="1" customWidth="1"/>
    <col min="7" max="7" width="13.33203125" customWidth="1"/>
    <col min="8" max="8" width="15.6640625" style="142" customWidth="1"/>
    <col min="9" max="12" width="13.33203125" style="142" customWidth="1"/>
  </cols>
  <sheetData>
    <row r="1" spans="1:17" ht="23" x14ac:dyDescent="0.25">
      <c r="B1" s="1" t="s">
        <v>154</v>
      </c>
      <c r="C1" s="1"/>
      <c r="D1" s="2"/>
      <c r="E1" s="3"/>
      <c r="F1" s="3"/>
      <c r="G1" s="3"/>
      <c r="H1" s="3"/>
      <c r="I1" s="3"/>
      <c r="J1" s="3"/>
      <c r="K1" s="3"/>
      <c r="L1" s="3"/>
    </row>
    <row r="2" spans="1:17" ht="23" x14ac:dyDescent="0.25">
      <c r="B2" s="1"/>
      <c r="C2" s="1"/>
      <c r="D2" s="2"/>
      <c r="E2" s="3"/>
      <c r="F2" s="3"/>
      <c r="G2" s="3"/>
      <c r="H2" s="3"/>
      <c r="I2" s="3"/>
      <c r="J2" s="3"/>
      <c r="K2" s="3"/>
      <c r="L2" s="3"/>
      <c r="N2" s="144"/>
    </row>
    <row r="3" spans="1:17" x14ac:dyDescent="0.2">
      <c r="A3" s="27" t="s">
        <v>0</v>
      </c>
      <c r="B3" s="26" t="s">
        <v>1</v>
      </c>
      <c r="C3" s="166" t="s">
        <v>75</v>
      </c>
      <c r="D3" s="27" t="s">
        <v>87</v>
      </c>
      <c r="E3" s="27" t="s">
        <v>109</v>
      </c>
      <c r="F3" s="27" t="s">
        <v>133</v>
      </c>
      <c r="G3" s="27" t="s">
        <v>106</v>
      </c>
      <c r="H3" s="27" t="s">
        <v>135</v>
      </c>
      <c r="I3" s="27" t="s">
        <v>125</v>
      </c>
      <c r="J3" s="27" t="s">
        <v>155</v>
      </c>
      <c r="K3" s="27" t="str">
        <f>'Fotball lagvis'!O6</f>
        <v>Regnskap 2017</v>
      </c>
      <c r="L3" s="27" t="str">
        <f>'Fotball lagvis'!P6</f>
        <v>Budsjett 2018</v>
      </c>
      <c r="N3" s="145"/>
    </row>
    <row r="4" spans="1:17" x14ac:dyDescent="0.2">
      <c r="A4" s="13">
        <v>3110</v>
      </c>
      <c r="B4" s="13" t="s">
        <v>2</v>
      </c>
      <c r="C4" s="167"/>
      <c r="D4" s="136"/>
      <c r="E4" s="122">
        <f>'Fotball lagvis'!E7</f>
        <v>0</v>
      </c>
      <c r="F4" s="122">
        <f>'Fotball lagvis'!J7</f>
        <v>0</v>
      </c>
      <c r="G4" s="122">
        <f>'Fotball lagvis'!L7</f>
        <v>0</v>
      </c>
      <c r="H4" s="122">
        <f>'Fotball lagvis'!K7</f>
        <v>0</v>
      </c>
      <c r="I4" s="122">
        <f>'Fotball lagvis'!M7</f>
        <v>0</v>
      </c>
      <c r="J4" s="122">
        <f>'Fotball lagvis'!N7</f>
        <v>0</v>
      </c>
      <c r="K4" s="122">
        <f>'Fotball lagvis'!O7</f>
        <v>0</v>
      </c>
      <c r="L4" s="122">
        <f>'Fotball lagvis'!P7</f>
        <v>0</v>
      </c>
      <c r="N4" s="146"/>
      <c r="O4" s="143"/>
      <c r="P4" s="143"/>
      <c r="Q4" s="143"/>
    </row>
    <row r="5" spans="1:17" x14ac:dyDescent="0.2">
      <c r="A5" s="13">
        <v>3115</v>
      </c>
      <c r="B5" s="13" t="s">
        <v>3</v>
      </c>
      <c r="C5" s="167"/>
      <c r="D5" s="136"/>
      <c r="E5" s="122">
        <f>'Fotball lagvis'!E8</f>
        <v>0</v>
      </c>
      <c r="F5" s="122">
        <f>'Fotball lagvis'!J8</f>
        <v>0</v>
      </c>
      <c r="G5" s="122">
        <f>'Fotball lagvis'!L8</f>
        <v>0</v>
      </c>
      <c r="H5" s="122">
        <f>'Fotball lagvis'!K8</f>
        <v>0</v>
      </c>
      <c r="I5" s="122">
        <f>'Fotball lagvis'!M8</f>
        <v>0</v>
      </c>
      <c r="J5" s="122">
        <f>'Fotball lagvis'!N8</f>
        <v>0</v>
      </c>
      <c r="K5" s="122">
        <f>'Fotball lagvis'!O8</f>
        <v>9629</v>
      </c>
      <c r="L5" s="122">
        <f>'Fotball lagvis'!P8</f>
        <v>0</v>
      </c>
      <c r="N5" s="146"/>
      <c r="O5" s="143"/>
      <c r="P5" s="143"/>
      <c r="Q5" s="143"/>
    </row>
    <row r="6" spans="1:17" x14ac:dyDescent="0.2">
      <c r="A6" s="13">
        <v>3400</v>
      </c>
      <c r="B6" s="13" t="s">
        <v>4</v>
      </c>
      <c r="C6" s="167"/>
      <c r="D6" s="136">
        <v>59292</v>
      </c>
      <c r="E6" s="122">
        <f>'Fotball lagvis'!E9</f>
        <v>86480</v>
      </c>
      <c r="F6" s="122">
        <f>'Fotball lagvis'!J9</f>
        <v>126295</v>
      </c>
      <c r="G6" s="122">
        <f>'Fotball lagvis'!L9</f>
        <v>80000</v>
      </c>
      <c r="H6" s="122">
        <f>'Fotball lagvis'!K9</f>
        <v>117876</v>
      </c>
      <c r="I6" s="122">
        <f>'Fotball lagvis'!M9</f>
        <v>71000</v>
      </c>
      <c r="J6" s="122">
        <f>'Fotball lagvis'!N9</f>
        <v>53500</v>
      </c>
      <c r="K6" s="122">
        <f>'Fotball lagvis'!O9</f>
        <v>62599</v>
      </c>
      <c r="L6" s="122">
        <f>'Fotball lagvis'!P9</f>
        <v>50000</v>
      </c>
      <c r="N6" s="146"/>
      <c r="O6" s="143"/>
      <c r="P6" s="143"/>
      <c r="Q6" s="143"/>
    </row>
    <row r="7" spans="1:17" x14ac:dyDescent="0.2">
      <c r="A7" s="13">
        <v>3440</v>
      </c>
      <c r="B7" s="13" t="s">
        <v>55</v>
      </c>
      <c r="C7" s="167"/>
      <c r="D7" s="136"/>
      <c r="E7" s="122">
        <f>'Fotball lagvis'!E10</f>
        <v>0</v>
      </c>
      <c r="F7" s="122">
        <f>'Fotball lagvis'!J10</f>
        <v>0</v>
      </c>
      <c r="G7" s="122">
        <f>'Fotball lagvis'!L10</f>
        <v>0</v>
      </c>
      <c r="H7" s="122">
        <f>'Fotball lagvis'!K10</f>
        <v>0</v>
      </c>
      <c r="I7" s="122">
        <f>'Fotball lagvis'!M10</f>
        <v>0</v>
      </c>
      <c r="J7" s="122">
        <f>'Fotball lagvis'!N10</f>
        <v>0</v>
      </c>
      <c r="K7" s="122">
        <f>'Fotball lagvis'!O10</f>
        <v>0</v>
      </c>
      <c r="L7" s="122">
        <f>'Fotball lagvis'!P10</f>
        <v>0</v>
      </c>
      <c r="N7" s="146"/>
      <c r="O7" s="143"/>
      <c r="P7" s="143"/>
      <c r="Q7" s="143"/>
    </row>
    <row r="8" spans="1:17" x14ac:dyDescent="0.2">
      <c r="A8" s="13">
        <v>3605</v>
      </c>
      <c r="B8" s="13" t="s">
        <v>5</v>
      </c>
      <c r="C8" s="167"/>
      <c r="D8" s="136"/>
      <c r="E8" s="122">
        <f>'Fotball lagvis'!E11</f>
        <v>0</v>
      </c>
      <c r="F8" s="122">
        <f>'Fotball lagvis'!J11</f>
        <v>0</v>
      </c>
      <c r="G8" s="122">
        <f>'Fotball lagvis'!L11</f>
        <v>0</v>
      </c>
      <c r="H8" s="122">
        <f>'Fotball lagvis'!K11</f>
        <v>0</v>
      </c>
      <c r="I8" s="122">
        <f>'Fotball lagvis'!M11</f>
        <v>0</v>
      </c>
      <c r="J8" s="122">
        <f>'Fotball lagvis'!N11</f>
        <v>0</v>
      </c>
      <c r="K8" s="122">
        <f>'Fotball lagvis'!O11</f>
        <v>0</v>
      </c>
      <c r="L8" s="122">
        <f>'Fotball lagvis'!P11</f>
        <v>0</v>
      </c>
      <c r="N8" s="146"/>
      <c r="O8" s="143"/>
      <c r="P8" s="143"/>
      <c r="Q8" s="143"/>
    </row>
    <row r="9" spans="1:17" x14ac:dyDescent="0.2">
      <c r="A9" s="13">
        <v>3620</v>
      </c>
      <c r="B9" s="23" t="s">
        <v>89</v>
      </c>
      <c r="C9" s="169"/>
      <c r="D9" s="136"/>
      <c r="E9" s="122">
        <f>'Fotball lagvis'!E12</f>
        <v>2750</v>
      </c>
      <c r="F9" s="122">
        <f>'Fotball lagvis'!J12</f>
        <v>0</v>
      </c>
      <c r="G9" s="122">
        <f>'Fotball lagvis'!L12</f>
        <v>0</v>
      </c>
      <c r="H9" s="122">
        <f>'Fotball lagvis'!K12</f>
        <v>0</v>
      </c>
      <c r="I9" s="122">
        <f>'Fotball lagvis'!M12</f>
        <v>0</v>
      </c>
      <c r="J9" s="122">
        <f>'Fotball lagvis'!N12</f>
        <v>0</v>
      </c>
      <c r="K9" s="122">
        <f>'Fotball lagvis'!O12</f>
        <v>0</v>
      </c>
      <c r="L9" s="122">
        <f>'Fotball lagvis'!P12</f>
        <v>0</v>
      </c>
      <c r="N9" s="146"/>
      <c r="O9" s="143"/>
      <c r="P9" s="143"/>
      <c r="Q9" s="143"/>
    </row>
    <row r="10" spans="1:17" x14ac:dyDescent="0.2">
      <c r="A10" s="13">
        <v>3920</v>
      </c>
      <c r="B10" s="13" t="s">
        <v>6</v>
      </c>
      <c r="C10" s="167"/>
      <c r="D10" s="136"/>
      <c r="E10" s="122">
        <f>'Fotball lagvis'!E13</f>
        <v>0</v>
      </c>
      <c r="F10" s="122">
        <f>'Fotball lagvis'!J13</f>
        <v>0</v>
      </c>
      <c r="G10" s="122">
        <f>'Fotball lagvis'!L13</f>
        <v>0</v>
      </c>
      <c r="H10" s="122">
        <f>'Fotball lagvis'!K13</f>
        <v>400</v>
      </c>
      <c r="I10" s="122">
        <f>'Fotball lagvis'!M13</f>
        <v>0</v>
      </c>
      <c r="J10" s="122">
        <f>'Fotball lagvis'!N13</f>
        <v>0</v>
      </c>
      <c r="K10" s="122">
        <f>'Fotball lagvis'!O13</f>
        <v>0</v>
      </c>
      <c r="L10" s="122">
        <f>'Fotball lagvis'!P13</f>
        <v>0</v>
      </c>
      <c r="N10" s="146"/>
      <c r="O10" s="143"/>
      <c r="P10" s="143"/>
      <c r="Q10" s="143"/>
    </row>
    <row r="11" spans="1:17" x14ac:dyDescent="0.2">
      <c r="A11" s="13">
        <v>3925</v>
      </c>
      <c r="B11" s="13" t="s">
        <v>7</v>
      </c>
      <c r="C11" s="167"/>
      <c r="D11" s="136">
        <v>49000</v>
      </c>
      <c r="E11" s="122">
        <f>'Fotball lagvis'!E14</f>
        <v>167800</v>
      </c>
      <c r="F11" s="122">
        <f>'Fotball lagvis'!J14</f>
        <v>237758</v>
      </c>
      <c r="G11" s="122">
        <f>'Fotball lagvis'!L14</f>
        <v>319000</v>
      </c>
      <c r="H11" s="122">
        <f>'Fotball lagvis'!K14</f>
        <v>220803</v>
      </c>
      <c r="I11" s="122">
        <f>'Fotball lagvis'!M14</f>
        <v>219900</v>
      </c>
      <c r="J11" s="122">
        <f>'Fotball lagvis'!N14</f>
        <v>154250</v>
      </c>
      <c r="K11" s="122">
        <f>'Fotball lagvis'!O14</f>
        <v>158400</v>
      </c>
      <c r="L11" s="122">
        <f>'Fotball lagvis'!P14</f>
        <v>240000</v>
      </c>
      <c r="N11" s="146"/>
      <c r="O11" s="143"/>
      <c r="P11" s="143"/>
      <c r="Q11" s="143"/>
    </row>
    <row r="12" spans="1:17" x14ac:dyDescent="0.2">
      <c r="A12" s="13">
        <v>3926</v>
      </c>
      <c r="B12" s="23" t="s">
        <v>13</v>
      </c>
      <c r="C12" s="169"/>
      <c r="D12" s="136"/>
      <c r="E12" s="122">
        <f>'Fotball lagvis'!E15</f>
        <v>0</v>
      </c>
      <c r="F12" s="122">
        <f>'Fotball lagvis'!J15</f>
        <v>0</v>
      </c>
      <c r="G12" s="122">
        <f>'Fotball lagvis'!L15</f>
        <v>0</v>
      </c>
      <c r="H12" s="122">
        <f>'Fotball lagvis'!K15</f>
        <v>0</v>
      </c>
      <c r="I12" s="122">
        <f>'Fotball lagvis'!M15</f>
        <v>0</v>
      </c>
      <c r="J12" s="122">
        <f>'Fotball lagvis'!N15</f>
        <v>0</v>
      </c>
      <c r="K12" s="122">
        <f>'Fotball lagvis'!O15</f>
        <v>0</v>
      </c>
      <c r="L12" s="122">
        <f>'Fotball lagvis'!P15</f>
        <v>0</v>
      </c>
      <c r="N12" s="146"/>
      <c r="O12" s="143"/>
      <c r="P12" s="143"/>
      <c r="Q12" s="143"/>
    </row>
    <row r="13" spans="1:17" x14ac:dyDescent="0.2">
      <c r="A13" s="13">
        <v>3950</v>
      </c>
      <c r="B13" s="13" t="s">
        <v>9</v>
      </c>
      <c r="C13" s="167"/>
      <c r="D13" s="136">
        <v>31450</v>
      </c>
      <c r="E13" s="122">
        <f>'Fotball lagvis'!E16</f>
        <v>25500</v>
      </c>
      <c r="F13" s="122">
        <f>'Fotball lagvis'!J16</f>
        <v>26000</v>
      </c>
      <c r="G13" s="122">
        <f>'Fotball lagvis'!L16</f>
        <v>30000</v>
      </c>
      <c r="H13" s="122">
        <f>'Fotball lagvis'!K16</f>
        <v>33395</v>
      </c>
      <c r="I13" s="122">
        <f>'Fotball lagvis'!M16</f>
        <v>26000</v>
      </c>
      <c r="J13" s="122">
        <f>'Fotball lagvis'!N16</f>
        <v>20000</v>
      </c>
      <c r="K13" s="122">
        <f>'Fotball lagvis'!O16</f>
        <v>19750</v>
      </c>
      <c r="L13" s="122">
        <f>'Fotball lagvis'!P16</f>
        <v>20000</v>
      </c>
      <c r="N13" s="146"/>
      <c r="O13" s="143"/>
      <c r="P13" s="143"/>
      <c r="Q13" s="143"/>
    </row>
    <row r="14" spans="1:17" x14ac:dyDescent="0.2">
      <c r="A14" s="13">
        <v>3970</v>
      </c>
      <c r="B14" s="13" t="s">
        <v>10</v>
      </c>
      <c r="C14" s="167"/>
      <c r="D14" s="136">
        <v>25500</v>
      </c>
      <c r="E14" s="122">
        <f>'Fotball lagvis'!E17</f>
        <v>0</v>
      </c>
      <c r="F14" s="122">
        <f>'Fotball lagvis'!J17</f>
        <v>46000</v>
      </c>
      <c r="G14" s="122">
        <f>'Fotball lagvis'!L17</f>
        <v>0</v>
      </c>
      <c r="H14" s="122">
        <f>'Fotball lagvis'!K17</f>
        <v>9000</v>
      </c>
      <c r="I14" s="122">
        <f>'Fotball lagvis'!M17</f>
        <v>21000</v>
      </c>
      <c r="J14" s="122">
        <f>'Fotball lagvis'!N17</f>
        <v>21000</v>
      </c>
      <c r="K14" s="122">
        <f>'Fotball lagvis'!O17</f>
        <v>23663</v>
      </c>
      <c r="L14" s="122">
        <f>'Fotball lagvis'!P17</f>
        <v>15000</v>
      </c>
      <c r="N14" s="146"/>
      <c r="O14" s="143"/>
      <c r="P14" s="143"/>
      <c r="Q14" s="143"/>
    </row>
    <row r="15" spans="1:17" x14ac:dyDescent="0.2">
      <c r="A15" s="13">
        <v>3975</v>
      </c>
      <c r="B15" s="13" t="s">
        <v>11</v>
      </c>
      <c r="C15" s="167"/>
      <c r="D15" s="136">
        <f>32880+80484.55+71090+18035.25+4000+4000</f>
        <v>210489.8</v>
      </c>
      <c r="E15" s="122">
        <f>'Fotball lagvis'!E18</f>
        <v>318545</v>
      </c>
      <c r="F15" s="122">
        <f>'Fotball lagvis'!J18</f>
        <v>604339</v>
      </c>
      <c r="G15" s="122">
        <f>'Fotball lagvis'!L18</f>
        <v>311000</v>
      </c>
      <c r="H15" s="122">
        <f>'Fotball lagvis'!K18</f>
        <v>116124</v>
      </c>
      <c r="I15" s="122">
        <f>'Fotball lagvis'!M18</f>
        <v>123500</v>
      </c>
      <c r="J15" s="122">
        <f>'Fotball lagvis'!N18</f>
        <v>90500</v>
      </c>
      <c r="K15" s="122">
        <f>'Fotball lagvis'!O18</f>
        <v>96326</v>
      </c>
      <c r="L15" s="122">
        <f>'Fotball lagvis'!P18</f>
        <v>35000</v>
      </c>
      <c r="N15" s="146"/>
      <c r="O15" s="143"/>
      <c r="P15" s="143"/>
      <c r="Q15" s="143"/>
    </row>
    <row r="16" spans="1:17" x14ac:dyDescent="0.2">
      <c r="A16" s="13">
        <v>3980</v>
      </c>
      <c r="B16" s="13" t="s">
        <v>12</v>
      </c>
      <c r="C16" s="167"/>
      <c r="D16" s="136"/>
      <c r="E16" s="122">
        <f>'Fotball lagvis'!E19</f>
        <v>0</v>
      </c>
      <c r="F16" s="122">
        <f>'Fotball lagvis'!J19</f>
        <v>0</v>
      </c>
      <c r="G16" s="122">
        <f>'Fotball lagvis'!L19</f>
        <v>0</v>
      </c>
      <c r="H16" s="122">
        <f>'Fotball lagvis'!K19</f>
        <v>0</v>
      </c>
      <c r="I16" s="122">
        <f>'Fotball lagvis'!M19</f>
        <v>0</v>
      </c>
      <c r="J16" s="122">
        <f>'Fotball lagvis'!N19</f>
        <v>0</v>
      </c>
      <c r="K16" s="122">
        <f>'Fotball lagvis'!O19</f>
        <v>0</v>
      </c>
      <c r="L16" s="122">
        <f>'Fotball lagvis'!P19</f>
        <v>0</v>
      </c>
      <c r="N16" s="146"/>
      <c r="O16" s="143"/>
      <c r="P16" s="143"/>
      <c r="Q16" s="143"/>
    </row>
    <row r="17" spans="1:17" x14ac:dyDescent="0.2">
      <c r="A17" s="13">
        <v>3990</v>
      </c>
      <c r="B17" s="23" t="s">
        <v>8</v>
      </c>
      <c r="C17" s="169"/>
      <c r="D17" s="136"/>
      <c r="E17" s="122">
        <f>'Fotball lagvis'!E20</f>
        <v>0</v>
      </c>
      <c r="F17" s="122">
        <f>'Fotball lagvis'!J20</f>
        <v>0</v>
      </c>
      <c r="G17" s="122">
        <f>'Fotball lagvis'!L20</f>
        <v>0</v>
      </c>
      <c r="H17" s="122">
        <f>'Fotball lagvis'!K20</f>
        <v>0</v>
      </c>
      <c r="I17" s="122">
        <f>'Fotball lagvis'!M20</f>
        <v>0</v>
      </c>
      <c r="J17" s="122">
        <f>'Fotball lagvis'!N20</f>
        <v>0</v>
      </c>
      <c r="K17" s="122">
        <f>'Fotball lagvis'!O20</f>
        <v>0</v>
      </c>
      <c r="L17" s="122">
        <f>'Fotball lagvis'!P20</f>
        <v>0</v>
      </c>
      <c r="N17" s="146"/>
      <c r="O17" s="143"/>
      <c r="P17" s="143"/>
      <c r="Q17" s="143"/>
    </row>
    <row r="18" spans="1:17" x14ac:dyDescent="0.2">
      <c r="A18" s="13"/>
      <c r="B18" s="30" t="s">
        <v>14</v>
      </c>
      <c r="C18" s="170"/>
      <c r="D18" s="138">
        <f t="shared" ref="D18:L18" si="0">SUM(D4:D17)</f>
        <v>375731.8</v>
      </c>
      <c r="E18" s="31">
        <f t="shared" si="0"/>
        <v>601075</v>
      </c>
      <c r="F18" s="138">
        <f t="shared" si="0"/>
        <v>1040392</v>
      </c>
      <c r="G18" s="138">
        <f t="shared" si="0"/>
        <v>740000</v>
      </c>
      <c r="H18" s="138">
        <f t="shared" si="0"/>
        <v>497598</v>
      </c>
      <c r="I18" s="138">
        <f t="shared" si="0"/>
        <v>461400</v>
      </c>
      <c r="J18" s="138">
        <f t="shared" si="0"/>
        <v>339250</v>
      </c>
      <c r="K18" s="138">
        <f t="shared" si="0"/>
        <v>370367</v>
      </c>
      <c r="L18" s="138">
        <f t="shared" si="0"/>
        <v>360000</v>
      </c>
      <c r="N18" s="147"/>
      <c r="O18" s="143"/>
      <c r="P18" s="143"/>
      <c r="Q18" s="143"/>
    </row>
    <row r="19" spans="1:17" x14ac:dyDescent="0.2">
      <c r="A19" s="13"/>
      <c r="B19" s="12" t="s">
        <v>15</v>
      </c>
      <c r="C19" s="171"/>
      <c r="D19" s="133"/>
      <c r="E19" s="22"/>
      <c r="F19" s="122"/>
      <c r="G19" s="122"/>
      <c r="H19" s="122"/>
      <c r="I19" s="122"/>
      <c r="J19" s="122"/>
      <c r="K19" s="122">
        <f>'Fotball lagvis'!O22</f>
        <v>0</v>
      </c>
      <c r="L19" s="122">
        <f>'Fotball lagvis'!P22</f>
        <v>0</v>
      </c>
      <c r="N19" s="146"/>
      <c r="O19" s="143"/>
      <c r="P19" s="143"/>
      <c r="Q19" s="143"/>
    </row>
    <row r="20" spans="1:17" x14ac:dyDescent="0.2">
      <c r="A20" s="13">
        <v>4210</v>
      </c>
      <c r="B20" s="13" t="s">
        <v>16</v>
      </c>
      <c r="C20" s="167"/>
      <c r="D20" s="133">
        <v>6172</v>
      </c>
      <c r="E20" s="122">
        <f>'Fotball lagvis'!E23</f>
        <v>5280</v>
      </c>
      <c r="F20" s="122">
        <f>'Fotball lagvis'!J23</f>
        <v>5733</v>
      </c>
      <c r="G20" s="122">
        <f>'Fotball lagvis'!L23</f>
        <v>6000</v>
      </c>
      <c r="H20" s="122">
        <f>'Fotball lagvis'!K23</f>
        <v>0</v>
      </c>
      <c r="I20" s="122">
        <f>'Fotball lagvis'!M23</f>
        <v>6000</v>
      </c>
      <c r="J20" s="122">
        <f>'Fotball lagvis'!N23</f>
        <v>6000</v>
      </c>
      <c r="K20" s="122">
        <f>'Fotball lagvis'!O23</f>
        <v>4762</v>
      </c>
      <c r="L20" s="122">
        <f>'Fotball lagvis'!P23</f>
        <v>5500</v>
      </c>
      <c r="N20" s="146"/>
      <c r="O20" s="143"/>
      <c r="P20" s="143"/>
      <c r="Q20" s="143"/>
    </row>
    <row r="21" spans="1:17" x14ac:dyDescent="0.2">
      <c r="A21" s="13">
        <v>4220</v>
      </c>
      <c r="B21" s="13" t="s">
        <v>17</v>
      </c>
      <c r="C21" s="167"/>
      <c r="D21" s="133"/>
      <c r="E21" s="122">
        <f>'Fotball lagvis'!E24</f>
        <v>0</v>
      </c>
      <c r="F21" s="122">
        <f>'Fotball lagvis'!J24</f>
        <v>0</v>
      </c>
      <c r="G21" s="122">
        <f>'Fotball lagvis'!L24</f>
        <v>0</v>
      </c>
      <c r="H21" s="122">
        <f>'Fotball lagvis'!K24</f>
        <v>0</v>
      </c>
      <c r="I21" s="122">
        <f>'Fotball lagvis'!M24</f>
        <v>0</v>
      </c>
      <c r="J21" s="122">
        <f>'Fotball lagvis'!N24</f>
        <v>0</v>
      </c>
      <c r="K21" s="122">
        <f>'Fotball lagvis'!O24</f>
        <v>0</v>
      </c>
      <c r="L21" s="122">
        <f>'Fotball lagvis'!P24</f>
        <v>0</v>
      </c>
      <c r="N21" s="146"/>
      <c r="O21" s="143"/>
      <c r="P21" s="143"/>
      <c r="Q21" s="143"/>
    </row>
    <row r="22" spans="1:17" x14ac:dyDescent="0.2">
      <c r="A22" s="13">
        <v>4225</v>
      </c>
      <c r="B22" s="13" t="s">
        <v>19</v>
      </c>
      <c r="C22" s="167"/>
      <c r="D22" s="133">
        <f>2500+23000</f>
        <v>25500</v>
      </c>
      <c r="E22" s="122">
        <f>'Fotball lagvis'!E25</f>
        <v>106114</v>
      </c>
      <c r="F22" s="122">
        <f>'Fotball lagvis'!J25</f>
        <v>81369</v>
      </c>
      <c r="G22" s="122">
        <f>'Fotball lagvis'!L25</f>
        <v>68000</v>
      </c>
      <c r="H22" s="122">
        <f>'Fotball lagvis'!K25</f>
        <v>24990</v>
      </c>
      <c r="I22" s="122">
        <f>'Fotball lagvis'!M25</f>
        <v>8000</v>
      </c>
      <c r="J22" s="122">
        <f>'Fotball lagvis'!N25</f>
        <v>8000</v>
      </c>
      <c r="K22" s="122">
        <f>'Fotball lagvis'!O25</f>
        <v>10996</v>
      </c>
      <c r="L22" s="122">
        <f>'Fotball lagvis'!P25</f>
        <v>0</v>
      </c>
      <c r="N22" s="146"/>
      <c r="O22" s="143"/>
      <c r="P22" s="143"/>
      <c r="Q22" s="143"/>
    </row>
    <row r="23" spans="1:17" x14ac:dyDescent="0.2">
      <c r="A23" s="13">
        <v>4300</v>
      </c>
      <c r="B23" s="13" t="s">
        <v>18</v>
      </c>
      <c r="C23" s="167"/>
      <c r="D23" s="133"/>
      <c r="E23" s="122">
        <f>'Fotball lagvis'!E26</f>
        <v>0</v>
      </c>
      <c r="F23" s="122">
        <f>'Fotball lagvis'!J26</f>
        <v>0</v>
      </c>
      <c r="G23" s="122">
        <f>'Fotball lagvis'!L26</f>
        <v>0</v>
      </c>
      <c r="H23" s="122">
        <f>'Fotball lagvis'!K26</f>
        <v>0</v>
      </c>
      <c r="I23" s="122">
        <f>'Fotball lagvis'!M26</f>
        <v>0</v>
      </c>
      <c r="J23" s="122">
        <f>'Fotball lagvis'!N26</f>
        <v>0</v>
      </c>
      <c r="K23" s="122">
        <f>'Fotball lagvis'!O26</f>
        <v>0</v>
      </c>
      <c r="L23" s="122">
        <f>'Fotball lagvis'!P26</f>
        <v>0</v>
      </c>
      <c r="N23" s="146"/>
      <c r="O23" s="143"/>
      <c r="P23" s="143"/>
      <c r="Q23" s="143"/>
    </row>
    <row r="24" spans="1:17" x14ac:dyDescent="0.2">
      <c r="A24" s="13">
        <v>5000</v>
      </c>
      <c r="B24" s="13" t="s">
        <v>20</v>
      </c>
      <c r="C24" s="167"/>
      <c r="D24" s="133"/>
      <c r="E24" s="122">
        <f>'Fotball lagvis'!E27</f>
        <v>0</v>
      </c>
      <c r="F24" s="122">
        <f>'Fotball lagvis'!J27</f>
        <v>0</v>
      </c>
      <c r="G24" s="122">
        <f>'Fotball lagvis'!L27</f>
        <v>0</v>
      </c>
      <c r="H24" s="122">
        <f>'Fotball lagvis'!K27</f>
        <v>10000</v>
      </c>
      <c r="I24" s="122">
        <f>'Fotball lagvis'!M27</f>
        <v>0</v>
      </c>
      <c r="J24" s="122">
        <f>'Fotball lagvis'!N27</f>
        <v>0</v>
      </c>
      <c r="K24" s="122">
        <f>'Fotball lagvis'!O27</f>
        <v>0</v>
      </c>
      <c r="L24" s="122">
        <f>'Fotball lagvis'!P27</f>
        <v>0</v>
      </c>
      <c r="N24" s="146"/>
      <c r="O24" s="143"/>
      <c r="P24" s="143"/>
      <c r="Q24" s="143"/>
    </row>
    <row r="25" spans="1:17" x14ac:dyDescent="0.2">
      <c r="A25" s="13">
        <v>6315</v>
      </c>
      <c r="B25" s="13" t="s">
        <v>22</v>
      </c>
      <c r="C25" s="167"/>
      <c r="D25" s="133"/>
      <c r="E25" s="122">
        <f>'Fotball lagvis'!E28</f>
        <v>0</v>
      </c>
      <c r="F25" s="122">
        <f>'Fotball lagvis'!J28</f>
        <v>0</v>
      </c>
      <c r="G25" s="122">
        <f>'Fotball lagvis'!L28</f>
        <v>0</v>
      </c>
      <c r="H25" s="122">
        <f>'Fotball lagvis'!K28</f>
        <v>0</v>
      </c>
      <c r="I25" s="122">
        <f>'Fotball lagvis'!M28</f>
        <v>0</v>
      </c>
      <c r="J25" s="122">
        <f>'Fotball lagvis'!N28</f>
        <v>0</v>
      </c>
      <c r="K25" s="122">
        <f>'Fotball lagvis'!O28</f>
        <v>0</v>
      </c>
      <c r="L25" s="122">
        <f>'Fotball lagvis'!P28</f>
        <v>0</v>
      </c>
      <c r="N25" s="146"/>
      <c r="O25" s="143"/>
      <c r="P25" s="143"/>
      <c r="Q25" s="143"/>
    </row>
    <row r="26" spans="1:17" x14ac:dyDescent="0.2">
      <c r="A26" s="13">
        <v>6316</v>
      </c>
      <c r="B26" s="13" t="s">
        <v>39</v>
      </c>
      <c r="C26" s="167"/>
      <c r="D26" s="133"/>
      <c r="E26" s="122">
        <f>'Fotball lagvis'!E29</f>
        <v>0</v>
      </c>
      <c r="F26" s="122">
        <f>'Fotball lagvis'!J29</f>
        <v>0</v>
      </c>
      <c r="G26" s="122">
        <f>'Fotball lagvis'!L29</f>
        <v>0</v>
      </c>
      <c r="H26" s="122">
        <f>'Fotball lagvis'!K29</f>
        <v>0</v>
      </c>
      <c r="I26" s="122">
        <f>'Fotball lagvis'!M29</f>
        <v>0</v>
      </c>
      <c r="J26" s="122">
        <f>'Fotball lagvis'!N29</f>
        <v>0</v>
      </c>
      <c r="K26" s="122">
        <f>'Fotball lagvis'!O29</f>
        <v>0</v>
      </c>
      <c r="L26" s="122">
        <f>'Fotball lagvis'!P29</f>
        <v>0</v>
      </c>
      <c r="N26" s="146"/>
      <c r="O26" s="143"/>
      <c r="P26" s="143"/>
      <c r="Q26" s="143"/>
    </row>
    <row r="27" spans="1:17" x14ac:dyDescent="0.2">
      <c r="A27" s="13">
        <v>6320</v>
      </c>
      <c r="B27" s="13" t="s">
        <v>23</v>
      </c>
      <c r="C27" s="167"/>
      <c r="D27" s="133"/>
      <c r="E27" s="122">
        <f>'Fotball lagvis'!E30</f>
        <v>0</v>
      </c>
      <c r="F27" s="122">
        <f>'Fotball lagvis'!J30</f>
        <v>0</v>
      </c>
      <c r="G27" s="122">
        <f>'Fotball lagvis'!L30</f>
        <v>0</v>
      </c>
      <c r="H27" s="122">
        <f>'Fotball lagvis'!K30</f>
        <v>0</v>
      </c>
      <c r="I27" s="122">
        <f>'Fotball lagvis'!M30</f>
        <v>0</v>
      </c>
      <c r="J27" s="122">
        <f>'Fotball lagvis'!N30</f>
        <v>0</v>
      </c>
      <c r="K27" s="122">
        <f>'Fotball lagvis'!O30</f>
        <v>8191</v>
      </c>
      <c r="L27" s="122">
        <f>'Fotball lagvis'!P30</f>
        <v>10000</v>
      </c>
      <c r="N27" s="146"/>
      <c r="O27" s="143"/>
      <c r="P27" s="143"/>
      <c r="Q27" s="143"/>
    </row>
    <row r="28" spans="1:17" x14ac:dyDescent="0.2">
      <c r="A28" s="13">
        <v>6340</v>
      </c>
      <c r="B28" s="13" t="s">
        <v>41</v>
      </c>
      <c r="C28" s="167"/>
      <c r="D28" s="133"/>
      <c r="E28" s="122">
        <f>'Fotball lagvis'!E31</f>
        <v>0</v>
      </c>
      <c r="F28" s="122">
        <f>'Fotball lagvis'!J31</f>
        <v>0</v>
      </c>
      <c r="G28" s="122">
        <f>'Fotball lagvis'!L31</f>
        <v>0</v>
      </c>
      <c r="H28" s="122">
        <f>'Fotball lagvis'!K31</f>
        <v>0</v>
      </c>
      <c r="I28" s="122">
        <f>'Fotball lagvis'!M31</f>
        <v>0</v>
      </c>
      <c r="J28" s="122">
        <f>'Fotball lagvis'!N31</f>
        <v>0</v>
      </c>
      <c r="K28" s="122">
        <f>'Fotball lagvis'!O31</f>
        <v>0</v>
      </c>
      <c r="L28" s="122">
        <f>'Fotball lagvis'!P31</f>
        <v>0</v>
      </c>
      <c r="N28" s="146"/>
      <c r="O28" s="143"/>
      <c r="P28" s="143"/>
      <c r="Q28" s="143"/>
    </row>
    <row r="29" spans="1:17" x14ac:dyDescent="0.2">
      <c r="A29" s="13">
        <v>6340</v>
      </c>
      <c r="B29" s="13" t="s">
        <v>42</v>
      </c>
      <c r="C29" s="167"/>
      <c r="D29" s="133"/>
      <c r="E29" s="122">
        <f>'Fotball lagvis'!E32</f>
        <v>0</v>
      </c>
      <c r="F29" s="122">
        <f>'Fotball lagvis'!J32</f>
        <v>0</v>
      </c>
      <c r="G29" s="122">
        <f>'Fotball lagvis'!L32</f>
        <v>0</v>
      </c>
      <c r="H29" s="122">
        <f>'Fotball lagvis'!K32</f>
        <v>0</v>
      </c>
      <c r="I29" s="122">
        <f>'Fotball lagvis'!M32</f>
        <v>0</v>
      </c>
      <c r="J29" s="122">
        <f>'Fotball lagvis'!N32</f>
        <v>0</v>
      </c>
      <c r="K29" s="122">
        <f>'Fotball lagvis'!O32</f>
        <v>0</v>
      </c>
      <c r="L29" s="122">
        <f>'Fotball lagvis'!P32</f>
        <v>0</v>
      </c>
      <c r="N29" s="146"/>
      <c r="O29" s="143"/>
      <c r="P29" s="143"/>
      <c r="Q29" s="143"/>
    </row>
    <row r="30" spans="1:17" x14ac:dyDescent="0.2">
      <c r="A30" s="13">
        <v>6550</v>
      </c>
      <c r="B30" s="13" t="s">
        <v>40</v>
      </c>
      <c r="C30" s="167"/>
      <c r="D30" s="133">
        <f>22360+14524</f>
        <v>36884</v>
      </c>
      <c r="E30" s="122">
        <f>'Fotball lagvis'!E33</f>
        <v>51304</v>
      </c>
      <c r="F30" s="122">
        <f>'Fotball lagvis'!J33</f>
        <v>56414</v>
      </c>
      <c r="G30" s="122">
        <f>'Fotball lagvis'!L33</f>
        <v>45000</v>
      </c>
      <c r="H30" s="122">
        <f>'Fotball lagvis'!K33</f>
        <v>25096</v>
      </c>
      <c r="I30" s="122">
        <f>'Fotball lagvis'!M33</f>
        <v>46000</v>
      </c>
      <c r="J30" s="122">
        <f>'Fotball lagvis'!N33</f>
        <v>31000</v>
      </c>
      <c r="K30" s="122">
        <f>'Fotball lagvis'!O33</f>
        <v>44000.2</v>
      </c>
      <c r="L30" s="122">
        <f>'Fotball lagvis'!P33</f>
        <v>43000</v>
      </c>
      <c r="N30" s="146"/>
      <c r="O30" s="143"/>
      <c r="P30" s="143"/>
      <c r="Q30" s="143"/>
    </row>
    <row r="31" spans="1:17" x14ac:dyDescent="0.2">
      <c r="A31" s="13">
        <v>6600</v>
      </c>
      <c r="B31" s="13" t="s">
        <v>24</v>
      </c>
      <c r="C31" s="167"/>
      <c r="D31" s="133"/>
      <c r="E31" s="122">
        <f>'Fotball lagvis'!E34</f>
        <v>0</v>
      </c>
      <c r="F31" s="122">
        <f>'Fotball lagvis'!J34</f>
        <v>0</v>
      </c>
      <c r="G31" s="122">
        <f>'Fotball lagvis'!L34</f>
        <v>0</v>
      </c>
      <c r="H31" s="122">
        <f>'Fotball lagvis'!K34</f>
        <v>0</v>
      </c>
      <c r="I31" s="122">
        <f>'Fotball lagvis'!M34</f>
        <v>0</v>
      </c>
      <c r="J31" s="122">
        <f>'Fotball lagvis'!N34</f>
        <v>0</v>
      </c>
      <c r="K31" s="122">
        <f>'Fotball lagvis'!O34</f>
        <v>0</v>
      </c>
      <c r="L31" s="122">
        <f>'Fotball lagvis'!P34</f>
        <v>0</v>
      </c>
      <c r="N31" s="146"/>
      <c r="O31" s="143"/>
      <c r="P31" s="143"/>
      <c r="Q31" s="143"/>
    </row>
    <row r="32" spans="1:17" x14ac:dyDescent="0.2">
      <c r="A32" s="13">
        <v>6620</v>
      </c>
      <c r="B32" s="13" t="s">
        <v>25</v>
      </c>
      <c r="C32" s="167"/>
      <c r="D32" s="133"/>
      <c r="E32" s="122">
        <f>'Fotball lagvis'!E35</f>
        <v>0</v>
      </c>
      <c r="F32" s="122">
        <f>'Fotball lagvis'!J35</f>
        <v>1649</v>
      </c>
      <c r="G32" s="122">
        <f>'Fotball lagvis'!L35</f>
        <v>0</v>
      </c>
      <c r="H32" s="122">
        <f>'Fotball lagvis'!K35</f>
        <v>0</v>
      </c>
      <c r="I32" s="122">
        <f>'Fotball lagvis'!M35</f>
        <v>0</v>
      </c>
      <c r="J32" s="122">
        <f>'Fotball lagvis'!N35</f>
        <v>0</v>
      </c>
      <c r="K32" s="122">
        <f>'Fotball lagvis'!O35</f>
        <v>0</v>
      </c>
      <c r="L32" s="122">
        <f>'Fotball lagvis'!P35</f>
        <v>0</v>
      </c>
      <c r="N32" s="146"/>
      <c r="O32" s="143"/>
      <c r="P32" s="143"/>
      <c r="Q32" s="143"/>
    </row>
    <row r="33" spans="1:17" x14ac:dyDescent="0.2">
      <c r="A33" s="13">
        <v>6630</v>
      </c>
      <c r="B33" s="13" t="s">
        <v>47</v>
      </c>
      <c r="C33" s="167"/>
      <c r="D33" s="133"/>
      <c r="E33" s="122">
        <f>'Fotball lagvis'!E36</f>
        <v>0</v>
      </c>
      <c r="F33" s="122">
        <f>'Fotball lagvis'!J36</f>
        <v>0</v>
      </c>
      <c r="G33" s="122">
        <f>'Fotball lagvis'!L36</f>
        <v>0</v>
      </c>
      <c r="H33" s="122">
        <f>'Fotball lagvis'!K36</f>
        <v>0</v>
      </c>
      <c r="I33" s="122">
        <f>'Fotball lagvis'!M36</f>
        <v>0</v>
      </c>
      <c r="J33" s="122">
        <f>'Fotball lagvis'!N36</f>
        <v>0</v>
      </c>
      <c r="K33" s="122">
        <f>'Fotball lagvis'!O36</f>
        <v>0</v>
      </c>
      <c r="L33" s="122">
        <f>'Fotball lagvis'!P36</f>
        <v>0</v>
      </c>
      <c r="N33" s="146"/>
      <c r="O33" s="143"/>
      <c r="P33" s="143"/>
      <c r="Q33" s="143"/>
    </row>
    <row r="34" spans="1:17" x14ac:dyDescent="0.2">
      <c r="A34" s="13">
        <v>6705</v>
      </c>
      <c r="B34" s="23" t="s">
        <v>28</v>
      </c>
      <c r="C34" s="169"/>
      <c r="D34" s="133"/>
      <c r="E34" s="122">
        <f>'Fotball lagvis'!E37</f>
        <v>0</v>
      </c>
      <c r="F34" s="122">
        <f>'Fotball lagvis'!J37</f>
        <v>0</v>
      </c>
      <c r="G34" s="122">
        <f>'Fotball lagvis'!L37</f>
        <v>0</v>
      </c>
      <c r="H34" s="122">
        <f>'Fotball lagvis'!K37</f>
        <v>0</v>
      </c>
      <c r="I34" s="122">
        <f>'Fotball lagvis'!M37</f>
        <v>0</v>
      </c>
      <c r="J34" s="122">
        <f>'Fotball lagvis'!N37</f>
        <v>0</v>
      </c>
      <c r="K34" s="122">
        <f>'Fotball lagvis'!O37</f>
        <v>0</v>
      </c>
      <c r="L34" s="122">
        <f>'Fotball lagvis'!P37</f>
        <v>0</v>
      </c>
      <c r="N34" s="146"/>
      <c r="O34" s="143"/>
      <c r="P34" s="143"/>
      <c r="Q34" s="143"/>
    </row>
    <row r="35" spans="1:17" x14ac:dyDescent="0.2">
      <c r="A35" s="13">
        <v>6800</v>
      </c>
      <c r="B35" s="13" t="s">
        <v>43</v>
      </c>
      <c r="C35" s="167"/>
      <c r="D35" s="133"/>
      <c r="E35" s="122">
        <f>'Fotball lagvis'!E38</f>
        <v>202</v>
      </c>
      <c r="F35" s="122">
        <f>'Fotball lagvis'!J38</f>
        <v>0</v>
      </c>
      <c r="G35" s="122">
        <f>'Fotball lagvis'!L38</f>
        <v>1000</v>
      </c>
      <c r="H35" s="122">
        <f>'Fotball lagvis'!K38</f>
        <v>0</v>
      </c>
      <c r="I35" s="122">
        <f>'Fotball lagvis'!M38</f>
        <v>1000</v>
      </c>
      <c r="J35" s="122">
        <f>'Fotball lagvis'!N38</f>
        <v>0</v>
      </c>
      <c r="K35" s="122">
        <f>'Fotball lagvis'!O38</f>
        <v>0</v>
      </c>
      <c r="L35" s="122">
        <f>'Fotball lagvis'!P38</f>
        <v>0</v>
      </c>
      <c r="N35" s="146"/>
      <c r="O35" s="143"/>
      <c r="P35" s="143"/>
      <c r="Q35" s="143"/>
    </row>
    <row r="36" spans="1:17" x14ac:dyDescent="0.2">
      <c r="A36" s="13">
        <v>6840</v>
      </c>
      <c r="B36" s="13" t="s">
        <v>26</v>
      </c>
      <c r="C36" s="167"/>
      <c r="D36" s="133"/>
      <c r="E36" s="122">
        <f>'Fotball lagvis'!E39</f>
        <v>0</v>
      </c>
      <c r="F36" s="122">
        <f>'Fotball lagvis'!J39</f>
        <v>0</v>
      </c>
      <c r="G36" s="122">
        <f>'Fotball lagvis'!L39</f>
        <v>0</v>
      </c>
      <c r="H36" s="122">
        <f>'Fotball lagvis'!K39</f>
        <v>0</v>
      </c>
      <c r="I36" s="122">
        <f>'Fotball lagvis'!M39</f>
        <v>0</v>
      </c>
      <c r="J36" s="122">
        <f>'Fotball lagvis'!N39</f>
        <v>0</v>
      </c>
      <c r="K36" s="122">
        <f>'Fotball lagvis'!O39</f>
        <v>0</v>
      </c>
      <c r="L36" s="122">
        <f>'Fotball lagvis'!P39</f>
        <v>0</v>
      </c>
      <c r="N36" s="146"/>
      <c r="O36" s="143"/>
      <c r="P36" s="143"/>
      <c r="Q36" s="143"/>
    </row>
    <row r="37" spans="1:17" x14ac:dyDescent="0.2">
      <c r="A37" s="13">
        <v>6860</v>
      </c>
      <c r="B37" s="13" t="s">
        <v>27</v>
      </c>
      <c r="C37" s="167"/>
      <c r="D37" s="133">
        <f>5031.76+2905</f>
        <v>7936.76</v>
      </c>
      <c r="E37" s="122">
        <f>'Fotball lagvis'!E40</f>
        <v>5282</v>
      </c>
      <c r="F37" s="122">
        <f>'Fotball lagvis'!J40</f>
        <v>0</v>
      </c>
      <c r="G37" s="122">
        <f>'Fotball lagvis'!L40</f>
        <v>6000</v>
      </c>
      <c r="H37" s="122">
        <f>'Fotball lagvis'!K40</f>
        <v>3825.47</v>
      </c>
      <c r="I37" s="122">
        <f>'Fotball lagvis'!M40</f>
        <v>14500</v>
      </c>
      <c r="J37" s="122">
        <f>'Fotball lagvis'!N40</f>
        <v>12500</v>
      </c>
      <c r="K37" s="122">
        <f>'Fotball lagvis'!O40</f>
        <v>1419.5</v>
      </c>
      <c r="L37" s="122">
        <f>'Fotball lagvis'!P40</f>
        <v>1000</v>
      </c>
      <c r="N37" s="146"/>
      <c r="O37" s="143"/>
      <c r="P37" s="143"/>
      <c r="Q37" s="143"/>
    </row>
    <row r="38" spans="1:17" x14ac:dyDescent="0.2">
      <c r="A38" s="13">
        <v>6900</v>
      </c>
      <c r="B38" s="23" t="s">
        <v>44</v>
      </c>
      <c r="C38" s="169"/>
      <c r="D38" s="133"/>
      <c r="E38" s="122">
        <f>'Fotball lagvis'!E41</f>
        <v>0</v>
      </c>
      <c r="F38" s="122">
        <f>'Fotball lagvis'!J41</f>
        <v>0</v>
      </c>
      <c r="G38" s="122">
        <f>'Fotball lagvis'!L41</f>
        <v>0</v>
      </c>
      <c r="H38" s="122">
        <f>'Fotball lagvis'!K41</f>
        <v>0</v>
      </c>
      <c r="I38" s="122">
        <f>'Fotball lagvis'!M41</f>
        <v>0</v>
      </c>
      <c r="J38" s="122">
        <f>'Fotball lagvis'!N41</f>
        <v>0</v>
      </c>
      <c r="K38" s="122">
        <f>'Fotball lagvis'!O41</f>
        <v>0</v>
      </c>
      <c r="L38" s="122">
        <f>'Fotball lagvis'!P41</f>
        <v>0</v>
      </c>
      <c r="N38" s="146"/>
      <c r="O38" s="143"/>
      <c r="P38" s="143"/>
      <c r="Q38" s="143"/>
    </row>
    <row r="39" spans="1:17" x14ac:dyDescent="0.2">
      <c r="A39" s="13">
        <v>6940</v>
      </c>
      <c r="B39" s="13" t="s">
        <v>29</v>
      </c>
      <c r="C39" s="167"/>
      <c r="D39" s="133"/>
      <c r="E39" s="122">
        <f>'Fotball lagvis'!E42</f>
        <v>0</v>
      </c>
      <c r="F39" s="122">
        <f>'Fotball lagvis'!J42</f>
        <v>0</v>
      </c>
      <c r="G39" s="122">
        <f>'Fotball lagvis'!L42</f>
        <v>0</v>
      </c>
      <c r="H39" s="122">
        <f>'Fotball lagvis'!K42</f>
        <v>0</v>
      </c>
      <c r="I39" s="122">
        <f>'Fotball lagvis'!M42</f>
        <v>0</v>
      </c>
      <c r="J39" s="122">
        <f>'Fotball lagvis'!N42</f>
        <v>0</v>
      </c>
      <c r="K39" s="122">
        <f>'Fotball lagvis'!O42</f>
        <v>0</v>
      </c>
      <c r="L39" s="122">
        <f>'Fotball lagvis'!P42</f>
        <v>0</v>
      </c>
      <c r="N39" s="146"/>
      <c r="O39" s="143"/>
      <c r="P39" s="143"/>
      <c r="Q39" s="143"/>
    </row>
    <row r="40" spans="1:17" x14ac:dyDescent="0.2">
      <c r="A40" s="13">
        <v>7000</v>
      </c>
      <c r="B40" s="13" t="s">
        <v>48</v>
      </c>
      <c r="C40" s="167"/>
      <c r="D40" s="133"/>
      <c r="E40" s="122">
        <f>'Fotball lagvis'!E43</f>
        <v>0</v>
      </c>
      <c r="F40" s="122">
        <f>'Fotball lagvis'!J43</f>
        <v>0</v>
      </c>
      <c r="G40" s="122">
        <f>'Fotball lagvis'!L43</f>
        <v>0</v>
      </c>
      <c r="H40" s="122">
        <f>'Fotball lagvis'!K43</f>
        <v>0</v>
      </c>
      <c r="I40" s="122">
        <f>'Fotball lagvis'!M43</f>
        <v>0</v>
      </c>
      <c r="J40" s="122">
        <f>'Fotball lagvis'!N43</f>
        <v>0</v>
      </c>
      <c r="K40" s="122">
        <f>'Fotball lagvis'!O43</f>
        <v>0</v>
      </c>
      <c r="L40" s="122">
        <f>'Fotball lagvis'!P43</f>
        <v>0</v>
      </c>
      <c r="N40" s="146"/>
      <c r="O40" s="143"/>
      <c r="P40" s="143"/>
      <c r="Q40" s="143"/>
    </row>
    <row r="41" spans="1:17" x14ac:dyDescent="0.2">
      <c r="A41" s="13">
        <v>7140</v>
      </c>
      <c r="B41" s="13" t="s">
        <v>45</v>
      </c>
      <c r="C41" s="167"/>
      <c r="D41" s="133">
        <v>5000</v>
      </c>
      <c r="E41" s="122">
        <f>'Fotball lagvis'!E44</f>
        <v>39441</v>
      </c>
      <c r="F41" s="122">
        <f>'Fotball lagvis'!J44</f>
        <v>73038</v>
      </c>
      <c r="G41" s="122">
        <f>'Fotball lagvis'!L44</f>
        <v>65000</v>
      </c>
      <c r="H41" s="122">
        <f>'Fotball lagvis'!K44</f>
        <v>5000</v>
      </c>
      <c r="I41" s="122">
        <f>'Fotball lagvis'!M44</f>
        <v>30000</v>
      </c>
      <c r="J41" s="122">
        <f>'Fotball lagvis'!N44</f>
        <v>20000</v>
      </c>
      <c r="K41" s="122">
        <f>'Fotball lagvis'!O44</f>
        <v>53159.8</v>
      </c>
      <c r="L41" s="122">
        <f>'Fotball lagvis'!P44</f>
        <v>55000</v>
      </c>
      <c r="N41" s="146"/>
      <c r="O41" s="143"/>
      <c r="P41" s="143"/>
      <c r="Q41" s="143"/>
    </row>
    <row r="42" spans="1:17" x14ac:dyDescent="0.2">
      <c r="A42" s="13">
        <v>7320</v>
      </c>
      <c r="B42" s="23" t="s">
        <v>30</v>
      </c>
      <c r="C42" s="169"/>
      <c r="D42" s="133"/>
      <c r="E42" s="122">
        <f>'Fotball lagvis'!E45</f>
        <v>0</v>
      </c>
      <c r="F42" s="122">
        <f>'Fotball lagvis'!J45</f>
        <v>0</v>
      </c>
      <c r="G42" s="122">
        <f>'Fotball lagvis'!L45</f>
        <v>0</v>
      </c>
      <c r="H42" s="122">
        <f>'Fotball lagvis'!K45</f>
        <v>0</v>
      </c>
      <c r="I42" s="122">
        <f>'Fotball lagvis'!M45</f>
        <v>0</v>
      </c>
      <c r="J42" s="122">
        <f>'Fotball lagvis'!N45</f>
        <v>0</v>
      </c>
      <c r="K42" s="122">
        <f>'Fotball lagvis'!O45</f>
        <v>0</v>
      </c>
      <c r="L42" s="122">
        <f>'Fotball lagvis'!P45</f>
        <v>0</v>
      </c>
      <c r="N42" s="146"/>
      <c r="O42" s="143"/>
      <c r="P42" s="143"/>
      <c r="Q42" s="143"/>
    </row>
    <row r="43" spans="1:17" x14ac:dyDescent="0.2">
      <c r="A43" s="13">
        <v>7400</v>
      </c>
      <c r="B43" s="13" t="s">
        <v>31</v>
      </c>
      <c r="C43" s="167"/>
      <c r="D43" s="133">
        <v>16850</v>
      </c>
      <c r="E43" s="122">
        <f>'Fotball lagvis'!E46</f>
        <v>18500</v>
      </c>
      <c r="F43" s="122">
        <f>'Fotball lagvis'!J46</f>
        <v>48515</v>
      </c>
      <c r="G43" s="122">
        <f>'Fotball lagvis'!L46</f>
        <v>51000</v>
      </c>
      <c r="H43" s="122">
        <f>'Fotball lagvis'!K46</f>
        <v>40850</v>
      </c>
      <c r="I43" s="122">
        <f>'Fotball lagvis'!M46</f>
        <v>54199</v>
      </c>
      <c r="J43" s="122">
        <f>'Fotball lagvis'!N46</f>
        <v>42600</v>
      </c>
      <c r="K43" s="122">
        <f>'Fotball lagvis'!O46</f>
        <v>44700</v>
      </c>
      <c r="L43" s="122">
        <f>'Fotball lagvis'!P46</f>
        <v>45000</v>
      </c>
      <c r="N43" s="146"/>
      <c r="O43" s="143"/>
      <c r="P43" s="143"/>
      <c r="Q43" s="143"/>
    </row>
    <row r="44" spans="1:17" x14ac:dyDescent="0.2">
      <c r="A44" s="13">
        <v>7420</v>
      </c>
      <c r="B44" s="13" t="s">
        <v>12</v>
      </c>
      <c r="C44" s="167"/>
      <c r="D44" s="133"/>
      <c r="E44" s="122">
        <f>'Fotball lagvis'!E47</f>
        <v>5400</v>
      </c>
      <c r="F44" s="122">
        <f>'Fotball lagvis'!J47</f>
        <v>2130</v>
      </c>
      <c r="G44" s="122">
        <f>'Fotball lagvis'!L47</f>
        <v>6000</v>
      </c>
      <c r="H44" s="122">
        <f>'Fotball lagvis'!K47</f>
        <v>13999</v>
      </c>
      <c r="I44" s="122">
        <f>'Fotball lagvis'!M47</f>
        <v>6000</v>
      </c>
      <c r="J44" s="122">
        <f>'Fotball lagvis'!N47</f>
        <v>7000</v>
      </c>
      <c r="K44" s="122">
        <f>'Fotball lagvis'!O47</f>
        <v>11025</v>
      </c>
      <c r="L44" s="122">
        <f>'Fotball lagvis'!P47</f>
        <v>8000</v>
      </c>
      <c r="N44" s="146"/>
      <c r="O44" s="143"/>
      <c r="P44" s="143"/>
      <c r="Q44" s="143"/>
    </row>
    <row r="45" spans="1:17" x14ac:dyDescent="0.2">
      <c r="A45" s="13">
        <v>7500</v>
      </c>
      <c r="B45" s="13" t="s">
        <v>21</v>
      </c>
      <c r="C45" s="167"/>
      <c r="D45" s="133"/>
      <c r="E45" s="122">
        <f>'Fotball lagvis'!E48</f>
        <v>0</v>
      </c>
      <c r="F45" s="122">
        <f>'Fotball lagvis'!J48</f>
        <v>0</v>
      </c>
      <c r="G45" s="122">
        <f>'Fotball lagvis'!L48</f>
        <v>0</v>
      </c>
      <c r="H45" s="122">
        <f>'Fotball lagvis'!K48</f>
        <v>11100</v>
      </c>
      <c r="I45" s="122">
        <f>'Fotball lagvis'!M48</f>
        <v>11000</v>
      </c>
      <c r="J45" s="122">
        <f>'Fotball lagvis'!N48</f>
        <v>10500</v>
      </c>
      <c r="K45" s="122">
        <f>'Fotball lagvis'!O48</f>
        <v>0</v>
      </c>
      <c r="L45" s="122">
        <f>'Fotball lagvis'!P48</f>
        <v>0</v>
      </c>
      <c r="N45" s="146"/>
      <c r="O45" s="143"/>
      <c r="P45" s="143"/>
      <c r="Q45" s="143"/>
    </row>
    <row r="46" spans="1:17" s="142" customFormat="1" x14ac:dyDescent="0.2">
      <c r="A46" s="13">
        <v>7745</v>
      </c>
      <c r="B46" s="13" t="s">
        <v>90</v>
      </c>
      <c r="C46" s="167"/>
      <c r="D46" s="133"/>
      <c r="E46" s="122">
        <f>'Fotball lagvis'!E49</f>
        <v>3740</v>
      </c>
      <c r="F46" s="122">
        <f>'Fotball lagvis'!J49</f>
        <v>3500</v>
      </c>
      <c r="G46" s="122">
        <f>'Fotball lagvis'!L49</f>
        <v>34000</v>
      </c>
      <c r="H46" s="122">
        <f>'Fotball lagvis'!K49</f>
        <v>3080</v>
      </c>
      <c r="I46" s="122">
        <f>'Fotball lagvis'!M49</f>
        <v>4000</v>
      </c>
      <c r="J46" s="122">
        <f>'Fotball lagvis'!N49</f>
        <v>4000</v>
      </c>
      <c r="K46" s="122">
        <f>'Fotball lagvis'!O49</f>
        <v>2024</v>
      </c>
      <c r="L46" s="122">
        <f>'Fotball lagvis'!P49</f>
        <v>2000</v>
      </c>
      <c r="N46" s="146"/>
      <c r="O46" s="143"/>
      <c r="P46" s="143"/>
      <c r="Q46" s="143"/>
    </row>
    <row r="47" spans="1:17" x14ac:dyDescent="0.2">
      <c r="A47" s="13">
        <v>7750</v>
      </c>
      <c r="B47" s="13" t="s">
        <v>32</v>
      </c>
      <c r="C47" s="167"/>
      <c r="D47" s="133">
        <f>92854.99+30470.54+2400+62886</f>
        <v>188611.53</v>
      </c>
      <c r="E47" s="122">
        <f>'Fotball lagvis'!E50</f>
        <v>271607</v>
      </c>
      <c r="F47" s="122">
        <f>'Fotball lagvis'!J50</f>
        <v>620583</v>
      </c>
      <c r="G47" s="122">
        <f>'Fotball lagvis'!L50</f>
        <v>311000</v>
      </c>
      <c r="H47" s="122">
        <f>'Fotball lagvis'!K50</f>
        <v>229212.79999999999</v>
      </c>
      <c r="I47" s="122">
        <f>'Fotball lagvis'!M50</f>
        <v>192900</v>
      </c>
      <c r="J47" s="122">
        <f>'Fotball lagvis'!N50</f>
        <v>123000</v>
      </c>
      <c r="K47" s="122">
        <f>'Fotball lagvis'!O50</f>
        <v>128823.59</v>
      </c>
      <c r="L47" s="122">
        <f>'Fotball lagvis'!P50</f>
        <v>122000</v>
      </c>
      <c r="N47" s="146"/>
      <c r="O47" s="143"/>
      <c r="P47" s="143"/>
      <c r="Q47" s="143"/>
    </row>
    <row r="48" spans="1:17" x14ac:dyDescent="0.2">
      <c r="A48" s="13">
        <v>7755</v>
      </c>
      <c r="B48" s="13" t="s">
        <v>33</v>
      </c>
      <c r="C48" s="167"/>
      <c r="D48" s="133">
        <f>7321+4275</f>
        <v>11596</v>
      </c>
      <c r="E48" s="122">
        <f>'Fotball lagvis'!E51</f>
        <v>46298</v>
      </c>
      <c r="F48" s="122">
        <f>'Fotball lagvis'!J51</f>
        <v>123425</v>
      </c>
      <c r="G48" s="122">
        <f>'Fotball lagvis'!L51</f>
        <v>145000</v>
      </c>
      <c r="H48" s="122">
        <f>'Fotball lagvis'!K51</f>
        <v>88055.6</v>
      </c>
      <c r="I48" s="122">
        <f>'Fotball lagvis'!M51</f>
        <v>68600</v>
      </c>
      <c r="J48" s="122">
        <f>'Fotball lagvis'!N51</f>
        <v>47750</v>
      </c>
      <c r="K48" s="122">
        <f>'Fotball lagvis'!O51</f>
        <v>80752</v>
      </c>
      <c r="L48" s="122">
        <f>'Fotball lagvis'!P51</f>
        <v>70000</v>
      </c>
      <c r="N48" s="146"/>
      <c r="O48" s="143"/>
      <c r="P48" s="143"/>
      <c r="Q48" s="143"/>
    </row>
    <row r="49" spans="1:17" x14ac:dyDescent="0.2">
      <c r="A49" s="13">
        <v>7770</v>
      </c>
      <c r="B49" s="13" t="s">
        <v>86</v>
      </c>
      <c r="C49" s="167"/>
      <c r="D49" s="133">
        <f>54.9+30</f>
        <v>84.9</v>
      </c>
      <c r="E49" s="122">
        <f>'Fotball lagvis'!E52</f>
        <v>60</v>
      </c>
      <c r="F49" s="122">
        <f>'Fotball lagvis'!J52</f>
        <v>90</v>
      </c>
      <c r="G49" s="122">
        <f>'Fotball lagvis'!L52</f>
        <v>0</v>
      </c>
      <c r="H49" s="122">
        <f>'Fotball lagvis'!K52</f>
        <v>0</v>
      </c>
      <c r="I49" s="122">
        <f>'Fotball lagvis'!M52</f>
        <v>0</v>
      </c>
      <c r="J49" s="122">
        <f>'Fotball lagvis'!N52</f>
        <v>0</v>
      </c>
      <c r="K49" s="122">
        <f>'Fotball lagvis'!O52</f>
        <v>0</v>
      </c>
      <c r="L49" s="122">
        <f>'Fotball lagvis'!P52</f>
        <v>0</v>
      </c>
      <c r="N49" s="146"/>
      <c r="O49" s="143"/>
      <c r="P49" s="143"/>
      <c r="Q49" s="143"/>
    </row>
    <row r="50" spans="1:17" x14ac:dyDescent="0.2">
      <c r="A50" s="13">
        <v>7790</v>
      </c>
      <c r="B50" s="13" t="s">
        <v>34</v>
      </c>
      <c r="C50" s="167"/>
      <c r="D50" s="133"/>
      <c r="E50" s="122">
        <f>'Fotball lagvis'!E53</f>
        <v>1800</v>
      </c>
      <c r="F50" s="122">
        <f>'Fotball lagvis'!J53</f>
        <v>-750</v>
      </c>
      <c r="G50" s="122">
        <f>'Fotball lagvis'!L53</f>
        <v>0</v>
      </c>
      <c r="H50" s="122">
        <f>'Fotball lagvis'!K53</f>
        <v>445</v>
      </c>
      <c r="I50" s="122">
        <f>'Fotball lagvis'!M53</f>
        <v>6000</v>
      </c>
      <c r="J50" s="122">
        <f>'Fotball lagvis'!N53</f>
        <v>1000</v>
      </c>
      <c r="K50" s="122">
        <f>'Fotball lagvis'!O53</f>
        <v>2400</v>
      </c>
      <c r="L50" s="122">
        <f>'Fotball lagvis'!P53</f>
        <v>0</v>
      </c>
      <c r="N50" s="146"/>
      <c r="O50" s="143"/>
      <c r="P50" s="143"/>
      <c r="Q50" s="143"/>
    </row>
    <row r="51" spans="1:17" x14ac:dyDescent="0.2">
      <c r="A51" s="13">
        <v>6010</v>
      </c>
      <c r="B51" s="23" t="s">
        <v>35</v>
      </c>
      <c r="C51" s="169"/>
      <c r="D51" s="133"/>
      <c r="E51" s="122">
        <f>'Fotball lagvis'!E54</f>
        <v>0</v>
      </c>
      <c r="F51" s="122">
        <f>'Fotball lagvis'!J54</f>
        <v>0</v>
      </c>
      <c r="G51" s="122">
        <f>'Fotball lagvis'!L54</f>
        <v>0</v>
      </c>
      <c r="H51" s="122">
        <f>'Fotball lagvis'!K54</f>
        <v>0</v>
      </c>
      <c r="I51" s="122">
        <f>'Fotball lagvis'!M54</f>
        <v>0</v>
      </c>
      <c r="J51" s="122">
        <f>'Fotball lagvis'!N54</f>
        <v>0</v>
      </c>
      <c r="K51" s="122">
        <f>'Fotball lagvis'!O54</f>
        <v>0</v>
      </c>
      <c r="L51" s="122">
        <f>'Fotball lagvis'!P54</f>
        <v>0</v>
      </c>
      <c r="N51" s="146"/>
      <c r="O51" s="143"/>
      <c r="P51" s="143"/>
      <c r="Q51" s="143"/>
    </row>
    <row r="52" spans="1:17" x14ac:dyDescent="0.2">
      <c r="A52" s="13"/>
      <c r="B52" s="26" t="s">
        <v>36</v>
      </c>
      <c r="C52" s="166"/>
      <c r="D52" s="139">
        <f t="shared" ref="D52:L52" si="1">SUM(D20:D51)</f>
        <v>298635.19</v>
      </c>
      <c r="E52" s="32">
        <f t="shared" si="1"/>
        <v>555028</v>
      </c>
      <c r="F52" s="139">
        <f t="shared" si="1"/>
        <v>1015696</v>
      </c>
      <c r="G52" s="139">
        <f t="shared" si="1"/>
        <v>738000</v>
      </c>
      <c r="H52" s="139">
        <f t="shared" si="1"/>
        <v>455653.87</v>
      </c>
      <c r="I52" s="139">
        <f t="shared" si="1"/>
        <v>448199</v>
      </c>
      <c r="J52" s="139">
        <f t="shared" si="1"/>
        <v>313350</v>
      </c>
      <c r="K52" s="139">
        <f t="shared" si="1"/>
        <v>392253.08999999997</v>
      </c>
      <c r="L52" s="139">
        <f t="shared" si="1"/>
        <v>361500</v>
      </c>
      <c r="N52" s="146"/>
      <c r="O52" s="143"/>
      <c r="P52" s="143"/>
      <c r="Q52" s="143"/>
    </row>
    <row r="53" spans="1:17" x14ac:dyDescent="0.2">
      <c r="A53" s="13"/>
      <c r="B53" s="33"/>
      <c r="C53" s="172"/>
      <c r="D53" s="137"/>
      <c r="E53" s="29"/>
      <c r="F53" s="122"/>
      <c r="G53" s="122"/>
      <c r="H53" s="122"/>
      <c r="I53" s="122"/>
      <c r="J53" s="122"/>
      <c r="K53" s="122"/>
      <c r="L53" s="122"/>
      <c r="N53" s="146"/>
      <c r="O53" s="143"/>
      <c r="P53" s="143"/>
      <c r="Q53" s="143"/>
    </row>
    <row r="54" spans="1:17" x14ac:dyDescent="0.2">
      <c r="A54" s="13"/>
      <c r="B54" s="26" t="s">
        <v>38</v>
      </c>
      <c r="C54" s="166"/>
      <c r="D54" s="139">
        <f t="shared" ref="D54:L54" si="2">(D18-D52)</f>
        <v>77096.609999999986</v>
      </c>
      <c r="E54" s="32">
        <f t="shared" si="2"/>
        <v>46047</v>
      </c>
      <c r="F54" s="139">
        <f t="shared" si="2"/>
        <v>24696</v>
      </c>
      <c r="G54" s="139">
        <f t="shared" si="2"/>
        <v>2000</v>
      </c>
      <c r="H54" s="139">
        <f t="shared" si="2"/>
        <v>41944.130000000005</v>
      </c>
      <c r="I54" s="139">
        <f t="shared" si="2"/>
        <v>13201</v>
      </c>
      <c r="J54" s="139">
        <f t="shared" si="2"/>
        <v>25900</v>
      </c>
      <c r="K54" s="139">
        <f t="shared" si="2"/>
        <v>-21886.089999999967</v>
      </c>
      <c r="L54" s="139">
        <f t="shared" si="2"/>
        <v>-1500</v>
      </c>
      <c r="N54" s="146"/>
      <c r="O54" s="143"/>
      <c r="P54" s="143"/>
      <c r="Q54" s="143"/>
    </row>
    <row r="55" spans="1:17" x14ac:dyDescent="0.2">
      <c r="A55" s="23"/>
      <c r="B55" s="23"/>
      <c r="C55" s="169"/>
      <c r="D55" s="134"/>
      <c r="E55" s="23"/>
      <c r="F55" s="135"/>
      <c r="G55" s="135"/>
      <c r="H55" s="135"/>
      <c r="I55" s="135"/>
      <c r="J55" s="135"/>
      <c r="K55" s="135"/>
      <c r="L55" s="135"/>
      <c r="N55" s="146"/>
      <c r="O55" s="143"/>
      <c r="P55" s="143"/>
      <c r="Q55" s="143"/>
    </row>
    <row r="56" spans="1:17" x14ac:dyDescent="0.2">
      <c r="A56" s="23"/>
      <c r="B56" s="24" t="s">
        <v>49</v>
      </c>
      <c r="C56" s="173"/>
      <c r="D56" s="135"/>
      <c r="E56" s="25"/>
      <c r="F56" s="135"/>
      <c r="G56" s="135"/>
      <c r="H56" s="135"/>
      <c r="I56" s="135"/>
      <c r="J56" s="135"/>
      <c r="K56" s="135"/>
      <c r="L56" s="135"/>
      <c r="N56" s="146"/>
      <c r="O56" s="143"/>
      <c r="P56" s="143"/>
      <c r="Q56" s="143"/>
    </row>
    <row r="57" spans="1:17" x14ac:dyDescent="0.2">
      <c r="A57" s="23"/>
      <c r="B57" s="23" t="s">
        <v>50</v>
      </c>
      <c r="C57" s="169"/>
      <c r="D57" s="135">
        <f>47.46+1.05</f>
        <v>48.51</v>
      </c>
      <c r="E57" s="25">
        <v>67</v>
      </c>
      <c r="F57" s="135">
        <v>71</v>
      </c>
      <c r="G57" s="135"/>
      <c r="H57" s="135">
        <f>'Fotball lagvis'!K60</f>
        <v>0</v>
      </c>
      <c r="I57" s="135"/>
      <c r="J57" s="135"/>
      <c r="K57" s="135"/>
      <c r="L57" s="135"/>
      <c r="N57" s="146"/>
      <c r="O57" s="143"/>
      <c r="P57" s="143"/>
      <c r="Q57" s="143"/>
    </row>
    <row r="58" spans="1:17" x14ac:dyDescent="0.2">
      <c r="A58" s="23"/>
      <c r="B58" s="23" t="s">
        <v>52</v>
      </c>
      <c r="C58" s="169"/>
      <c r="D58" s="135"/>
      <c r="E58" s="25"/>
      <c r="F58" s="135">
        <f>'Fotball lagvis'!J61</f>
        <v>0</v>
      </c>
      <c r="G58" s="135"/>
      <c r="H58" s="135">
        <f>'Fotball lagvis'!K61</f>
        <v>0</v>
      </c>
      <c r="I58" s="135"/>
      <c r="J58" s="135"/>
      <c r="K58" s="135"/>
      <c r="L58" s="135"/>
      <c r="N58" s="146"/>
      <c r="O58" s="143"/>
      <c r="P58" s="143"/>
      <c r="Q58" s="143"/>
    </row>
    <row r="59" spans="1:17" x14ac:dyDescent="0.2">
      <c r="A59" s="23"/>
      <c r="B59" s="34" t="s">
        <v>53</v>
      </c>
      <c r="C59" s="174"/>
      <c r="D59" s="140">
        <f t="shared" ref="D59:I59" si="3">D57-D58</f>
        <v>48.51</v>
      </c>
      <c r="E59" s="35">
        <f t="shared" si="3"/>
        <v>67</v>
      </c>
      <c r="F59" s="140">
        <f t="shared" si="3"/>
        <v>71</v>
      </c>
      <c r="G59" s="140">
        <f t="shared" si="3"/>
        <v>0</v>
      </c>
      <c r="H59" s="140">
        <f t="shared" si="3"/>
        <v>0</v>
      </c>
      <c r="I59" s="140">
        <f t="shared" si="3"/>
        <v>0</v>
      </c>
      <c r="J59" s="140"/>
      <c r="K59" s="140"/>
      <c r="L59" s="140"/>
      <c r="N59" s="143"/>
      <c r="O59" s="143"/>
      <c r="P59" s="143"/>
      <c r="Q59" s="143"/>
    </row>
    <row r="60" spans="1:17" x14ac:dyDescent="0.2">
      <c r="A60" s="23"/>
      <c r="B60" s="23"/>
      <c r="C60" s="169"/>
      <c r="D60" s="135"/>
      <c r="E60" s="25"/>
      <c r="F60" s="135"/>
      <c r="G60" s="135"/>
      <c r="H60" s="135"/>
      <c r="I60" s="135"/>
      <c r="J60" s="135"/>
      <c r="K60" s="135"/>
      <c r="L60" s="135"/>
      <c r="N60" s="143"/>
      <c r="O60" s="143"/>
      <c r="P60" s="143"/>
      <c r="Q60" s="143"/>
    </row>
    <row r="61" spans="1:17" x14ac:dyDescent="0.2">
      <c r="A61" s="23"/>
      <c r="B61" s="36" t="s">
        <v>37</v>
      </c>
      <c r="C61" s="175"/>
      <c r="D61" s="141">
        <f>D54+D59</f>
        <v>77145.119999999981</v>
      </c>
      <c r="E61" s="37">
        <f t="shared" ref="E61:J61" si="4">E54+E59</f>
        <v>46114</v>
      </c>
      <c r="F61" s="141">
        <f>F54+F59</f>
        <v>24767</v>
      </c>
      <c r="G61" s="141">
        <f>G54+G59</f>
        <v>2000</v>
      </c>
      <c r="H61" s="141">
        <f>H54+H59</f>
        <v>41944.130000000005</v>
      </c>
      <c r="I61" s="141">
        <f t="shared" si="4"/>
        <v>13201</v>
      </c>
      <c r="J61" s="141">
        <f t="shared" si="4"/>
        <v>25900</v>
      </c>
      <c r="K61" s="141"/>
      <c r="L61" s="141"/>
      <c r="N61" s="143"/>
      <c r="O61" s="143"/>
      <c r="P61" s="143"/>
      <c r="Q61" s="143"/>
    </row>
    <row r="63" spans="1:17" x14ac:dyDescent="0.2">
      <c r="B63" s="113" t="s">
        <v>85</v>
      </c>
      <c r="C63" s="113"/>
    </row>
    <row r="64" spans="1:17" x14ac:dyDescent="0.2">
      <c r="B64" t="s">
        <v>108</v>
      </c>
    </row>
  </sheetData>
  <pageMargins left="0.7" right="0.7" top="0.75" bottom="0.75" header="0.3" footer="0.3"/>
  <pageSetup paperSize="9" scale="62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S70"/>
  <sheetViews>
    <sheetView zoomScale="110" zoomScaleNormal="110" zoomScalePageLayoutView="110" workbookViewId="0">
      <pane xSplit="3" ySplit="6" topLeftCell="O38" activePane="bottomRight" state="frozen"/>
      <selection pane="topRight" activeCell="D1" sqref="D1"/>
      <selection pane="bottomLeft" activeCell="A7" sqref="A7"/>
      <selection pane="bottomRight" activeCell="AJ9" sqref="AJ9"/>
    </sheetView>
  </sheetViews>
  <sheetFormatPr baseColWidth="10" defaultRowHeight="15" x14ac:dyDescent="0.2"/>
  <cols>
    <col min="1" max="1" width="1.6640625" customWidth="1"/>
    <col min="2" max="2" width="6.33203125" customWidth="1"/>
    <col min="3" max="3" width="25.6640625" customWidth="1"/>
    <col min="4" max="4" width="15.33203125" customWidth="1"/>
    <col min="5" max="5" width="14.33203125" customWidth="1"/>
    <col min="6" max="6" width="14.33203125" style="142" hidden="1" customWidth="1"/>
    <col min="7" max="7" width="7.83203125" style="142" hidden="1" customWidth="1"/>
    <col min="8" max="8" width="8.33203125" style="142" hidden="1" customWidth="1"/>
    <col min="9" max="9" width="14.33203125" style="142" hidden="1" customWidth="1"/>
    <col min="10" max="10" width="15.6640625" style="142" bestFit="1" customWidth="1"/>
    <col min="11" max="11" width="15.6640625" style="142" customWidth="1"/>
    <col min="12" max="14" width="15.33203125" style="142" customWidth="1"/>
    <col min="15" max="15" width="15.6640625" style="142" customWidth="1"/>
    <col min="16" max="16" width="15.33203125" style="142" customWidth="1"/>
    <col min="17" max="17" width="1.33203125" style="142" customWidth="1"/>
    <col min="18" max="22" width="12.5" style="142" customWidth="1"/>
    <col min="23" max="26" width="11.1640625" style="142" hidden="1" customWidth="1"/>
    <col min="27" max="34" width="11.1640625" style="142" customWidth="1"/>
    <col min="35" max="35" width="12.6640625" style="142" bestFit="1" customWidth="1"/>
    <col min="36" max="36" width="12.33203125" style="142" bestFit="1" customWidth="1"/>
    <col min="37" max="41" width="12.33203125" style="142" customWidth="1"/>
  </cols>
  <sheetData>
    <row r="2" spans="2:42" ht="23" x14ac:dyDescent="0.25">
      <c r="B2" s="142"/>
      <c r="C2" s="1" t="s">
        <v>154</v>
      </c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2:42" s="142" customFormat="1" ht="17.5" customHeight="1" thickBot="1" x14ac:dyDescent="0.3">
      <c r="C3" s="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17.5" customHeight="1" thickBot="1" x14ac:dyDescent="0.3">
      <c r="B4" s="142"/>
      <c r="C4" s="1"/>
      <c r="D4" s="185"/>
      <c r="E4" s="186" t="s">
        <v>196</v>
      </c>
      <c r="F4" s="183"/>
      <c r="G4" s="183"/>
      <c r="H4" s="183"/>
      <c r="I4" s="183"/>
      <c r="J4" s="183"/>
      <c r="K4" s="183"/>
      <c r="L4" s="184" t="s">
        <v>106</v>
      </c>
      <c r="M4" s="207" t="s">
        <v>125</v>
      </c>
      <c r="N4" s="207" t="s">
        <v>155</v>
      </c>
      <c r="O4" s="183"/>
      <c r="P4" s="3" t="s">
        <v>195</v>
      </c>
      <c r="Q4" s="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206"/>
      <c r="AL4" s="33"/>
      <c r="AM4" s="3"/>
      <c r="AN4" s="3"/>
      <c r="AO4" s="3"/>
      <c r="AP4" s="3"/>
    </row>
    <row r="5" spans="2:42" s="142" customFormat="1" ht="10.25" customHeight="1" x14ac:dyDescent="0.25">
      <c r="C5" s="1"/>
      <c r="D5" s="2"/>
      <c r="E5" s="3"/>
      <c r="F5" s="3"/>
      <c r="G5" s="3"/>
      <c r="H5" s="3"/>
      <c r="I5" s="3"/>
      <c r="J5" s="3"/>
      <c r="K5" s="3"/>
      <c r="L5" s="3"/>
      <c r="M5" s="3"/>
      <c r="N5" s="208"/>
      <c r="O5" s="3"/>
      <c r="P5" s="208"/>
      <c r="Q5" s="3"/>
      <c r="R5" s="3"/>
      <c r="S5" s="3"/>
      <c r="T5" s="208"/>
      <c r="U5" s="3"/>
      <c r="V5" s="3"/>
      <c r="W5" s="3"/>
      <c r="X5" s="3"/>
      <c r="Y5" s="3"/>
      <c r="Z5" s="3"/>
      <c r="AA5" s="208"/>
      <c r="AB5" s="3"/>
      <c r="AC5" s="3"/>
      <c r="AD5" s="3"/>
      <c r="AE5" s="3"/>
      <c r="AF5" s="208"/>
      <c r="AG5" s="208"/>
      <c r="AH5" s="208"/>
      <c r="AI5" s="3"/>
      <c r="AJ5" s="3"/>
      <c r="AK5" s="3"/>
      <c r="AL5" s="33"/>
      <c r="AM5" s="208"/>
      <c r="AN5" s="208"/>
      <c r="AO5" s="208"/>
      <c r="AP5" s="3"/>
    </row>
    <row r="6" spans="2:42" ht="21" customHeight="1" x14ac:dyDescent="0.2">
      <c r="B6" s="27" t="s">
        <v>0</v>
      </c>
      <c r="C6" s="26" t="s">
        <v>1</v>
      </c>
      <c r="D6" s="27" t="s">
        <v>87</v>
      </c>
      <c r="E6" s="27" t="s">
        <v>109</v>
      </c>
      <c r="F6" s="27" t="s">
        <v>93</v>
      </c>
      <c r="G6" s="27" t="s">
        <v>91</v>
      </c>
      <c r="H6" s="27" t="s">
        <v>92</v>
      </c>
      <c r="I6" s="27" t="s">
        <v>87</v>
      </c>
      <c r="J6" s="27" t="s">
        <v>133</v>
      </c>
      <c r="K6" s="27" t="s">
        <v>135</v>
      </c>
      <c r="L6" s="27" t="s">
        <v>106</v>
      </c>
      <c r="M6" s="27" t="s">
        <v>125</v>
      </c>
      <c r="N6" s="27" t="s">
        <v>155</v>
      </c>
      <c r="O6" s="27" t="s">
        <v>163</v>
      </c>
      <c r="P6" s="27" t="s">
        <v>195</v>
      </c>
      <c r="Q6" s="27"/>
      <c r="R6" s="27" t="s">
        <v>144</v>
      </c>
      <c r="S6" s="27" t="s">
        <v>128</v>
      </c>
      <c r="T6" s="27" t="s">
        <v>156</v>
      </c>
      <c r="U6" s="27" t="s">
        <v>157</v>
      </c>
      <c r="V6" s="27" t="s">
        <v>197</v>
      </c>
      <c r="W6" s="27" t="s">
        <v>145</v>
      </c>
      <c r="X6" s="27" t="s">
        <v>129</v>
      </c>
      <c r="Y6" s="27" t="s">
        <v>153</v>
      </c>
      <c r="Z6" s="27" t="s">
        <v>152</v>
      </c>
      <c r="AA6" s="27" t="s">
        <v>158</v>
      </c>
      <c r="AB6" s="27" t="s">
        <v>159</v>
      </c>
      <c r="AC6" s="27" t="s">
        <v>200</v>
      </c>
      <c r="AD6" s="27" t="s">
        <v>150</v>
      </c>
      <c r="AE6" s="27" t="s">
        <v>151</v>
      </c>
      <c r="AF6" s="178" t="s">
        <v>160</v>
      </c>
      <c r="AG6" s="178" t="s">
        <v>198</v>
      </c>
      <c r="AH6" s="178" t="s">
        <v>199</v>
      </c>
      <c r="AI6" s="178" t="s">
        <v>131</v>
      </c>
      <c r="AJ6" s="178" t="s">
        <v>132</v>
      </c>
      <c r="AK6" s="178" t="s">
        <v>130</v>
      </c>
      <c r="AL6" s="178" t="s">
        <v>149</v>
      </c>
      <c r="AM6" s="27" t="s">
        <v>161</v>
      </c>
      <c r="AN6" s="27" t="s">
        <v>201</v>
      </c>
      <c r="AO6" s="27" t="s">
        <v>202</v>
      </c>
      <c r="AP6" s="145"/>
    </row>
    <row r="7" spans="2:42" x14ac:dyDescent="0.2">
      <c r="B7" s="13">
        <v>3110</v>
      </c>
      <c r="C7" s="13" t="s">
        <v>2</v>
      </c>
      <c r="D7" s="220"/>
      <c r="E7" s="220">
        <v>0</v>
      </c>
      <c r="F7" s="220" t="e">
        <f>I7+L7+#REF!+#REF!+#REF!</f>
        <v>#REF!</v>
      </c>
      <c r="G7" s="220" t="e">
        <f>J7+Q7+#REF!+#REF!+#REF!</f>
        <v>#REF!</v>
      </c>
      <c r="H7" s="220" t="e">
        <f>L7+#REF!+#REF!+#REF!+#REF!</f>
        <v>#REF!</v>
      </c>
      <c r="I7" s="220" t="e">
        <f>Q7+#REF!+#REF!+#REF!+#REF!</f>
        <v>#REF!</v>
      </c>
      <c r="J7" s="220">
        <v>0</v>
      </c>
      <c r="K7" s="220">
        <f t="shared" ref="K7:K13" si="0">S7+X7+Y7+AE7+AE7+AK7</f>
        <v>0</v>
      </c>
      <c r="L7" s="220"/>
      <c r="M7" s="220">
        <f t="shared" ref="M7:M20" si="1">R7+W7+Z7+AD7+AL7</f>
        <v>0</v>
      </c>
      <c r="N7" s="220">
        <f>T7+AA7+AF7+AM7</f>
        <v>0</v>
      </c>
      <c r="O7" s="220">
        <f>U7+AB7+AG7+AN7</f>
        <v>0</v>
      </c>
      <c r="P7" s="136">
        <f>V7+AC7+AH7+AO7</f>
        <v>0</v>
      </c>
      <c r="Q7" s="136"/>
      <c r="R7" s="222"/>
      <c r="S7" s="222"/>
      <c r="T7" s="222"/>
      <c r="U7" s="222"/>
      <c r="V7" s="197"/>
      <c r="W7" s="122"/>
      <c r="X7" s="122"/>
      <c r="Y7" s="122"/>
      <c r="Z7" s="122"/>
      <c r="AA7" s="223"/>
      <c r="AB7" s="223"/>
      <c r="AC7" s="122"/>
      <c r="AD7" s="223"/>
      <c r="AE7" s="223"/>
      <c r="AF7" s="224"/>
      <c r="AG7" s="224"/>
      <c r="AH7" s="179"/>
      <c r="AI7" s="224"/>
      <c r="AJ7" s="224"/>
      <c r="AK7" s="224"/>
      <c r="AL7" s="224"/>
      <c r="AM7" s="223"/>
      <c r="AN7" s="223"/>
      <c r="AO7" s="122"/>
      <c r="AP7" s="201"/>
    </row>
    <row r="8" spans="2:42" x14ac:dyDescent="0.2">
      <c r="B8" s="13">
        <v>3115</v>
      </c>
      <c r="C8" s="13" t="s">
        <v>3</v>
      </c>
      <c r="D8" s="220"/>
      <c r="E8" s="220">
        <v>0</v>
      </c>
      <c r="F8" s="220"/>
      <c r="G8" s="220"/>
      <c r="H8" s="220"/>
      <c r="I8" s="220">
        <f>SUM(F8:H8)</f>
        <v>0</v>
      </c>
      <c r="J8" s="220">
        <v>0</v>
      </c>
      <c r="K8" s="220">
        <f t="shared" si="0"/>
        <v>0</v>
      </c>
      <c r="L8" s="220"/>
      <c r="M8" s="220">
        <f t="shared" si="1"/>
        <v>0</v>
      </c>
      <c r="N8" s="220">
        <f t="shared" ref="N8:N20" si="2">T8+AA8+AF8+AM8</f>
        <v>0</v>
      </c>
      <c r="O8" s="220">
        <f t="shared" ref="O8:O20" si="3">U8+AB8+AG8+AN8</f>
        <v>9629</v>
      </c>
      <c r="P8" s="136">
        <f t="shared" ref="P8:P20" si="4">V8+AC8+AH8+AO8</f>
        <v>0</v>
      </c>
      <c r="Q8" s="136"/>
      <c r="R8" s="222"/>
      <c r="S8" s="222"/>
      <c r="T8" s="222"/>
      <c r="U8" s="222"/>
      <c r="V8" s="197"/>
      <c r="W8" s="122"/>
      <c r="X8" s="122"/>
      <c r="Y8" s="122"/>
      <c r="Z8" s="122"/>
      <c r="AA8" s="223"/>
      <c r="AB8" s="223">
        <v>9629</v>
      </c>
      <c r="AC8" s="122"/>
      <c r="AD8" s="223"/>
      <c r="AE8" s="223"/>
      <c r="AF8" s="224"/>
      <c r="AG8" s="224"/>
      <c r="AH8" s="179"/>
      <c r="AI8" s="224"/>
      <c r="AJ8" s="224"/>
      <c r="AK8" s="224"/>
      <c r="AL8" s="224"/>
      <c r="AM8" s="223"/>
      <c r="AN8" s="223"/>
      <c r="AO8" s="122"/>
      <c r="AP8" s="201"/>
    </row>
    <row r="9" spans="2:42" x14ac:dyDescent="0.2">
      <c r="B9" s="13">
        <v>3400</v>
      </c>
      <c r="C9" s="9" t="s">
        <v>111</v>
      </c>
      <c r="D9" s="220">
        <v>59292</v>
      </c>
      <c r="E9" s="220">
        <v>86480</v>
      </c>
      <c r="F9" s="220" t="e">
        <f>I9+L9+#REF!+#REF!+#REF!</f>
        <v>#REF!</v>
      </c>
      <c r="G9" s="220" t="e">
        <f>J9+Q9+#REF!+#REF!+#REF!</f>
        <v>#REF!</v>
      </c>
      <c r="H9" s="220" t="e">
        <f>L9+#REF!+#REF!+#REF!+#REF!</f>
        <v>#REF!</v>
      </c>
      <c r="I9" s="220" t="e">
        <f>Q9+#REF!+#REF!+#REF!+#REF!</f>
        <v>#REF!</v>
      </c>
      <c r="J9" s="220">
        <v>126295</v>
      </c>
      <c r="K9" s="220">
        <f>S9+X9+Y9+AE9+AK9</f>
        <v>117876</v>
      </c>
      <c r="L9" s="220">
        <v>80000</v>
      </c>
      <c r="M9" s="220">
        <f t="shared" si="1"/>
        <v>71000</v>
      </c>
      <c r="N9" s="220">
        <f t="shared" si="2"/>
        <v>53500</v>
      </c>
      <c r="O9" s="220">
        <f t="shared" si="3"/>
        <v>62599</v>
      </c>
      <c r="P9" s="136">
        <f t="shared" si="4"/>
        <v>50000</v>
      </c>
      <c r="Q9" s="136"/>
      <c r="R9" s="222">
        <v>35000</v>
      </c>
      <c r="S9" s="222">
        <v>45841</v>
      </c>
      <c r="T9" s="222">
        <f>700*(16+10+12+7)</f>
        <v>31500</v>
      </c>
      <c r="U9" s="142">
        <v>42230</v>
      </c>
      <c r="V9" s="197">
        <v>35000</v>
      </c>
      <c r="W9" s="122">
        <v>12000</v>
      </c>
      <c r="X9" s="122">
        <v>21283</v>
      </c>
      <c r="Y9" s="122">
        <v>19646</v>
      </c>
      <c r="Z9" s="122">
        <v>12000</v>
      </c>
      <c r="AA9" s="223">
        <v>12000</v>
      </c>
      <c r="AB9" s="142">
        <v>11581</v>
      </c>
      <c r="AC9" s="122">
        <v>15000</v>
      </c>
      <c r="AD9" s="223">
        <v>12000</v>
      </c>
      <c r="AE9" s="223">
        <v>18009</v>
      </c>
      <c r="AF9" s="224">
        <v>10000</v>
      </c>
      <c r="AG9" s="142">
        <v>8788</v>
      </c>
      <c r="AH9" s="179"/>
      <c r="AI9" s="224"/>
      <c r="AJ9" s="224"/>
      <c r="AK9" s="224">
        <v>13097</v>
      </c>
      <c r="AL9" s="224"/>
      <c r="AM9" s="223"/>
      <c r="AN9" s="223"/>
      <c r="AO9" s="122"/>
      <c r="AP9" s="201"/>
    </row>
    <row r="10" spans="2:42" x14ac:dyDescent="0.2">
      <c r="B10" s="13">
        <v>3440</v>
      </c>
      <c r="C10" s="13" t="s">
        <v>55</v>
      </c>
      <c r="D10" s="220"/>
      <c r="E10" s="220">
        <v>0</v>
      </c>
      <c r="F10" s="220"/>
      <c r="G10" s="220"/>
      <c r="H10" s="220"/>
      <c r="I10" s="220">
        <f t="shared" ref="I10:I20" si="5">SUM(F10:H10)</f>
        <v>0</v>
      </c>
      <c r="J10" s="220">
        <v>0</v>
      </c>
      <c r="K10" s="220">
        <f t="shared" si="0"/>
        <v>0</v>
      </c>
      <c r="L10" s="220"/>
      <c r="M10" s="220">
        <f t="shared" si="1"/>
        <v>0</v>
      </c>
      <c r="N10" s="220">
        <f t="shared" si="2"/>
        <v>0</v>
      </c>
      <c r="O10" s="220">
        <f t="shared" si="3"/>
        <v>0</v>
      </c>
      <c r="P10" s="136">
        <f t="shared" si="4"/>
        <v>0</v>
      </c>
      <c r="Q10" s="136"/>
      <c r="R10" s="222"/>
      <c r="S10" s="222"/>
      <c r="T10" s="222"/>
      <c r="U10" s="222"/>
      <c r="V10" s="197"/>
      <c r="W10" s="122"/>
      <c r="X10" s="122"/>
      <c r="Y10" s="122"/>
      <c r="Z10" s="122"/>
      <c r="AA10" s="223"/>
      <c r="AB10" s="223"/>
      <c r="AC10" s="122"/>
      <c r="AD10" s="223"/>
      <c r="AE10" s="223"/>
      <c r="AF10" s="224"/>
      <c r="AG10" s="224"/>
      <c r="AH10" s="179"/>
      <c r="AI10" s="224"/>
      <c r="AJ10" s="224"/>
      <c r="AK10" s="224"/>
      <c r="AL10" s="224"/>
      <c r="AM10" s="223"/>
      <c r="AN10" s="223"/>
      <c r="AO10" s="122"/>
      <c r="AP10" s="201"/>
    </row>
    <row r="11" spans="2:42" x14ac:dyDescent="0.2">
      <c r="B11" s="13">
        <v>3605</v>
      </c>
      <c r="C11" s="13" t="s">
        <v>5</v>
      </c>
      <c r="D11" s="220"/>
      <c r="E11" s="220">
        <v>0</v>
      </c>
      <c r="F11" s="220"/>
      <c r="G11" s="220"/>
      <c r="H11" s="220"/>
      <c r="I11" s="220">
        <f t="shared" si="5"/>
        <v>0</v>
      </c>
      <c r="J11" s="220">
        <v>0</v>
      </c>
      <c r="K11" s="220">
        <f t="shared" si="0"/>
        <v>0</v>
      </c>
      <c r="L11" s="220"/>
      <c r="M11" s="220">
        <f t="shared" si="1"/>
        <v>0</v>
      </c>
      <c r="N11" s="220">
        <f t="shared" si="2"/>
        <v>0</v>
      </c>
      <c r="O11" s="220">
        <f t="shared" si="3"/>
        <v>0</v>
      </c>
      <c r="P11" s="136">
        <f t="shared" si="4"/>
        <v>0</v>
      </c>
      <c r="Q11" s="136"/>
      <c r="R11" s="222"/>
      <c r="S11" s="222"/>
      <c r="T11" s="222"/>
      <c r="U11" s="222"/>
      <c r="V11" s="197"/>
      <c r="W11" s="122"/>
      <c r="X11" s="122"/>
      <c r="Y11" s="122"/>
      <c r="Z11" s="122"/>
      <c r="AA11" s="223"/>
      <c r="AB11" s="223"/>
      <c r="AC11" s="122"/>
      <c r="AD11" s="223"/>
      <c r="AE11" s="223"/>
      <c r="AF11" s="224"/>
      <c r="AG11" s="224"/>
      <c r="AH11" s="179"/>
      <c r="AI11" s="224"/>
      <c r="AJ11" s="224"/>
      <c r="AK11" s="224"/>
      <c r="AL11" s="224"/>
      <c r="AM11" s="223"/>
      <c r="AN11" s="223"/>
      <c r="AO11" s="122"/>
      <c r="AP11" s="201"/>
    </row>
    <row r="12" spans="2:42" x14ac:dyDescent="0.2">
      <c r="B12" s="13">
        <v>3620</v>
      </c>
      <c r="C12" s="134" t="s">
        <v>89</v>
      </c>
      <c r="D12" s="220"/>
      <c r="E12" s="220">
        <v>2750</v>
      </c>
      <c r="F12" s="220"/>
      <c r="G12" s="220"/>
      <c r="H12" s="220"/>
      <c r="I12" s="220">
        <f t="shared" si="5"/>
        <v>0</v>
      </c>
      <c r="J12" s="220">
        <v>0</v>
      </c>
      <c r="K12" s="220">
        <f t="shared" si="0"/>
        <v>0</v>
      </c>
      <c r="L12" s="220"/>
      <c r="M12" s="220">
        <f t="shared" si="1"/>
        <v>0</v>
      </c>
      <c r="N12" s="220">
        <f t="shared" si="2"/>
        <v>0</v>
      </c>
      <c r="O12" s="220">
        <f t="shared" si="3"/>
        <v>0</v>
      </c>
      <c r="P12" s="136">
        <f t="shared" si="4"/>
        <v>0</v>
      </c>
      <c r="Q12" s="136"/>
      <c r="R12" s="222"/>
      <c r="S12" s="222"/>
      <c r="T12" s="222"/>
      <c r="U12" s="222"/>
      <c r="V12" s="197"/>
      <c r="W12" s="122"/>
      <c r="X12" s="122"/>
      <c r="Y12" s="122"/>
      <c r="Z12" s="122"/>
      <c r="AA12" s="223"/>
      <c r="AB12" s="223"/>
      <c r="AC12" s="122"/>
      <c r="AD12" s="223"/>
      <c r="AE12" s="223"/>
      <c r="AF12" s="224"/>
      <c r="AG12" s="224"/>
      <c r="AH12" s="179"/>
      <c r="AI12" s="224"/>
      <c r="AJ12" s="224"/>
      <c r="AK12" s="224"/>
      <c r="AL12" s="224"/>
      <c r="AM12" s="223"/>
      <c r="AN12" s="223"/>
      <c r="AO12" s="122"/>
      <c r="AP12" s="201"/>
    </row>
    <row r="13" spans="2:42" x14ac:dyDescent="0.2">
      <c r="B13" s="13">
        <v>3920</v>
      </c>
      <c r="C13" s="13" t="s">
        <v>6</v>
      </c>
      <c r="D13" s="220"/>
      <c r="E13" s="220">
        <v>0</v>
      </c>
      <c r="F13" s="220"/>
      <c r="G13" s="220"/>
      <c r="H13" s="220"/>
      <c r="I13" s="220">
        <f t="shared" si="5"/>
        <v>0</v>
      </c>
      <c r="J13" s="220">
        <v>0</v>
      </c>
      <c r="K13" s="220">
        <f t="shared" si="0"/>
        <v>400</v>
      </c>
      <c r="L13" s="220"/>
      <c r="M13" s="220">
        <f t="shared" si="1"/>
        <v>0</v>
      </c>
      <c r="N13" s="220">
        <f t="shared" si="2"/>
        <v>0</v>
      </c>
      <c r="O13" s="220">
        <f t="shared" si="3"/>
        <v>0</v>
      </c>
      <c r="P13" s="136">
        <f t="shared" si="4"/>
        <v>0</v>
      </c>
      <c r="Q13" s="136"/>
      <c r="R13" s="222"/>
      <c r="S13" s="222"/>
      <c r="T13" s="222"/>
      <c r="U13" s="222"/>
      <c r="V13" s="197"/>
      <c r="W13" s="122"/>
      <c r="X13" s="122">
        <v>0</v>
      </c>
      <c r="Y13" s="122">
        <v>0</v>
      </c>
      <c r="Z13" s="122"/>
      <c r="AA13" s="223"/>
      <c r="AB13" s="223"/>
      <c r="AC13" s="122"/>
      <c r="AD13" s="223"/>
      <c r="AE13" s="223">
        <v>200</v>
      </c>
      <c r="AF13" s="224"/>
      <c r="AG13" s="226"/>
      <c r="AH13" s="179"/>
      <c r="AI13" s="224"/>
      <c r="AJ13" s="224"/>
      <c r="AK13" s="224"/>
      <c r="AL13" s="224"/>
      <c r="AM13" s="223"/>
      <c r="AN13" s="223"/>
      <c r="AO13" s="122"/>
      <c r="AP13" s="201"/>
    </row>
    <row r="14" spans="2:42" x14ac:dyDescent="0.2">
      <c r="B14" s="13">
        <v>3925</v>
      </c>
      <c r="C14" s="13" t="s">
        <v>7</v>
      </c>
      <c r="D14" s="220">
        <v>49000</v>
      </c>
      <c r="E14" s="220">
        <v>167800</v>
      </c>
      <c r="F14" s="220">
        <v>8000</v>
      </c>
      <c r="G14" s="220"/>
      <c r="H14" s="220">
        <v>41000</v>
      </c>
      <c r="I14" s="220">
        <f t="shared" si="5"/>
        <v>49000</v>
      </c>
      <c r="J14" s="220">
        <v>237758</v>
      </c>
      <c r="K14" s="220">
        <f>S14+X14+Y14+AE14+AK14</f>
        <v>220803</v>
      </c>
      <c r="L14" s="220">
        <v>319000</v>
      </c>
      <c r="M14" s="220">
        <f t="shared" si="1"/>
        <v>219900</v>
      </c>
      <c r="N14" s="220">
        <f t="shared" si="2"/>
        <v>154250</v>
      </c>
      <c r="O14" s="220">
        <f t="shared" si="3"/>
        <v>158400</v>
      </c>
      <c r="P14" s="136">
        <f t="shared" si="4"/>
        <v>240000</v>
      </c>
      <c r="Q14" s="136"/>
      <c r="R14" s="222">
        <v>43000</v>
      </c>
      <c r="S14" s="222">
        <f>3250+7150+4550+6400+1950+9750+10400-2100</f>
        <v>41350</v>
      </c>
      <c r="T14" s="222">
        <f>650*45</f>
        <v>29250</v>
      </c>
      <c r="U14" s="226">
        <v>17300</v>
      </c>
      <c r="V14" s="197">
        <v>35000</v>
      </c>
      <c r="W14" s="122">
        <f>13000+13000</f>
        <v>26000</v>
      </c>
      <c r="X14" s="122">
        <v>24400</v>
      </c>
      <c r="Y14" s="122">
        <v>10300</v>
      </c>
      <c r="Z14" s="122">
        <v>0</v>
      </c>
      <c r="AA14" s="223"/>
      <c r="AB14" s="142">
        <v>4550</v>
      </c>
      <c r="AC14" s="122">
        <v>30000</v>
      </c>
      <c r="AD14" s="223">
        <v>75000</v>
      </c>
      <c r="AE14" s="223">
        <f>91000-9297</f>
        <v>81703</v>
      </c>
      <c r="AF14" s="224">
        <v>60000</v>
      </c>
      <c r="AG14" s="226">
        <v>89650</v>
      </c>
      <c r="AH14" s="179">
        <v>95000</v>
      </c>
      <c r="AI14" s="224">
        <f>4800*20</f>
        <v>96000</v>
      </c>
      <c r="AJ14" s="224">
        <v>90000</v>
      </c>
      <c r="AK14" s="224">
        <v>63050</v>
      </c>
      <c r="AL14" s="224">
        <f>23*3300</f>
        <v>75900</v>
      </c>
      <c r="AM14" s="223">
        <v>65000</v>
      </c>
      <c r="AN14" s="226">
        <f>-2500+49400</f>
        <v>46900</v>
      </c>
      <c r="AO14" s="122">
        <v>80000</v>
      </c>
      <c r="AP14" s="201"/>
    </row>
    <row r="15" spans="2:42" x14ac:dyDescent="0.2">
      <c r="B15" s="13">
        <v>3926</v>
      </c>
      <c r="C15" s="134" t="s">
        <v>13</v>
      </c>
      <c r="D15" s="220"/>
      <c r="E15" s="220">
        <v>0</v>
      </c>
      <c r="F15" s="220"/>
      <c r="G15" s="220"/>
      <c r="H15" s="220"/>
      <c r="I15" s="220">
        <f t="shared" si="5"/>
        <v>0</v>
      </c>
      <c r="J15" s="220">
        <v>0</v>
      </c>
      <c r="K15" s="220"/>
      <c r="L15" s="220"/>
      <c r="M15" s="220">
        <f t="shared" si="1"/>
        <v>0</v>
      </c>
      <c r="N15" s="220">
        <f t="shared" si="2"/>
        <v>0</v>
      </c>
      <c r="O15" s="220">
        <f t="shared" si="3"/>
        <v>0</v>
      </c>
      <c r="P15" s="136">
        <f t="shared" si="4"/>
        <v>0</v>
      </c>
      <c r="Q15" s="136"/>
      <c r="R15" s="222"/>
      <c r="S15" s="222"/>
      <c r="T15" s="222"/>
      <c r="U15" s="222"/>
      <c r="V15" s="197"/>
      <c r="W15" s="122"/>
      <c r="X15" s="122"/>
      <c r="Y15" s="122"/>
      <c r="Z15" s="122"/>
      <c r="AA15" s="223"/>
      <c r="AB15" s="223"/>
      <c r="AC15" s="122"/>
      <c r="AD15" s="223"/>
      <c r="AE15" s="223"/>
      <c r="AF15" s="224"/>
      <c r="AG15" s="224"/>
      <c r="AH15" s="179"/>
      <c r="AI15" s="224"/>
      <c r="AJ15" s="224"/>
      <c r="AK15" s="224"/>
      <c r="AL15" s="224"/>
      <c r="AM15" s="223"/>
      <c r="AN15" s="223"/>
      <c r="AO15" s="122"/>
      <c r="AP15" s="201"/>
    </row>
    <row r="16" spans="2:42" x14ac:dyDescent="0.2">
      <c r="B16" s="13">
        <v>3950</v>
      </c>
      <c r="C16" s="13" t="s">
        <v>9</v>
      </c>
      <c r="D16" s="220">
        <v>31450</v>
      </c>
      <c r="E16" s="220">
        <v>25500</v>
      </c>
      <c r="F16" s="220"/>
      <c r="G16" s="220"/>
      <c r="H16" s="220">
        <v>31450</v>
      </c>
      <c r="I16" s="220">
        <f t="shared" si="5"/>
        <v>31450</v>
      </c>
      <c r="J16" s="220">
        <v>26000</v>
      </c>
      <c r="K16" s="220">
        <f>S16+X16+Y16+AE16+AK16</f>
        <v>33395</v>
      </c>
      <c r="L16" s="220">
        <v>30000</v>
      </c>
      <c r="M16" s="220">
        <f t="shared" si="1"/>
        <v>26000</v>
      </c>
      <c r="N16" s="220">
        <f t="shared" si="2"/>
        <v>20000</v>
      </c>
      <c r="O16" s="220">
        <f t="shared" si="3"/>
        <v>19750</v>
      </c>
      <c r="P16" s="136">
        <f t="shared" si="4"/>
        <v>20000</v>
      </c>
      <c r="Q16" s="136"/>
      <c r="R16" s="222">
        <v>26000</v>
      </c>
      <c r="S16" s="222">
        <f>28600</f>
        <v>28600</v>
      </c>
      <c r="T16" s="222">
        <v>20000</v>
      </c>
      <c r="U16" s="222">
        <v>19750</v>
      </c>
      <c r="V16" s="197">
        <v>20000</v>
      </c>
      <c r="W16" s="122"/>
      <c r="X16" s="122">
        <v>4795</v>
      </c>
      <c r="Y16" s="122"/>
      <c r="Z16" s="122"/>
      <c r="AA16" s="223"/>
      <c r="AB16" s="223"/>
      <c r="AC16" s="122"/>
      <c r="AD16" s="223"/>
      <c r="AE16" s="223"/>
      <c r="AF16" s="224"/>
      <c r="AG16" s="224"/>
      <c r="AH16" s="179"/>
      <c r="AI16" s="224"/>
      <c r="AJ16" s="224"/>
      <c r="AK16" s="224"/>
      <c r="AL16" s="224"/>
      <c r="AM16" s="223"/>
      <c r="AN16" s="223"/>
      <c r="AO16" s="122"/>
      <c r="AP16" s="201"/>
    </row>
    <row r="17" spans="2:42" x14ac:dyDescent="0.2">
      <c r="B17" s="13">
        <v>3970</v>
      </c>
      <c r="C17" s="13" t="s">
        <v>10</v>
      </c>
      <c r="D17" s="220">
        <v>25500</v>
      </c>
      <c r="E17" s="220">
        <v>0</v>
      </c>
      <c r="F17" s="220">
        <v>25500</v>
      </c>
      <c r="G17" s="220"/>
      <c r="H17" s="220"/>
      <c r="I17" s="220">
        <f t="shared" si="5"/>
        <v>25500</v>
      </c>
      <c r="J17" s="220">
        <v>46000</v>
      </c>
      <c r="K17" s="220">
        <f>S17+X17+Y17+AE17+AK17</f>
        <v>9000</v>
      </c>
      <c r="L17" s="220"/>
      <c r="M17" s="220">
        <f t="shared" si="1"/>
        <v>21000</v>
      </c>
      <c r="N17" s="220">
        <f t="shared" si="2"/>
        <v>21000</v>
      </c>
      <c r="O17" s="220">
        <f t="shared" si="3"/>
        <v>23663</v>
      </c>
      <c r="P17" s="136">
        <f t="shared" si="4"/>
        <v>15000</v>
      </c>
      <c r="Q17" s="136"/>
      <c r="R17" s="222"/>
      <c r="S17" s="222"/>
      <c r="T17" s="222"/>
      <c r="U17" s="222"/>
      <c r="V17" s="197"/>
      <c r="W17" s="122"/>
      <c r="X17" s="122">
        <v>-3000</v>
      </c>
      <c r="Y17" s="122">
        <v>3000</v>
      </c>
      <c r="Z17" s="122">
        <v>6000</v>
      </c>
      <c r="AA17" s="223">
        <v>6000</v>
      </c>
      <c r="AB17" s="226">
        <v>13663</v>
      </c>
      <c r="AC17" s="122">
        <v>5000</v>
      </c>
      <c r="AD17" s="223">
        <v>15000</v>
      </c>
      <c r="AE17" s="223">
        <v>9000</v>
      </c>
      <c r="AF17" s="224">
        <v>15000</v>
      </c>
      <c r="AG17" s="224"/>
      <c r="AH17" s="179"/>
      <c r="AI17" s="224"/>
      <c r="AJ17" s="224"/>
      <c r="AK17" s="224"/>
      <c r="AL17" s="224"/>
      <c r="AM17" s="223"/>
      <c r="AN17" s="223">
        <v>10000</v>
      </c>
      <c r="AO17" s="122">
        <v>10000</v>
      </c>
      <c r="AP17" s="201"/>
    </row>
    <row r="18" spans="2:42" x14ac:dyDescent="0.2">
      <c r="B18" s="13">
        <v>3975</v>
      </c>
      <c r="C18" s="13" t="s">
        <v>11</v>
      </c>
      <c r="D18" s="220">
        <f>32880+80484.55+71090+18035.25+4000+4000</f>
        <v>210489.8</v>
      </c>
      <c r="E18" s="220">
        <v>318545</v>
      </c>
      <c r="F18" s="220">
        <v>80484.55</v>
      </c>
      <c r="G18" s="220">
        <v>71090</v>
      </c>
      <c r="H18" s="220">
        <f>32880+18035.25+4000+4000</f>
        <v>58915.25</v>
      </c>
      <c r="I18" s="220">
        <f t="shared" si="5"/>
        <v>210489.8</v>
      </c>
      <c r="J18" s="220">
        <v>604339</v>
      </c>
      <c r="K18" s="220">
        <f>S18+X18+Y18+AE18+AK18</f>
        <v>116124</v>
      </c>
      <c r="L18" s="220">
        <v>311000</v>
      </c>
      <c r="M18" s="220">
        <f t="shared" si="1"/>
        <v>123500</v>
      </c>
      <c r="N18" s="220">
        <f t="shared" si="2"/>
        <v>90500</v>
      </c>
      <c r="O18" s="220">
        <f t="shared" si="3"/>
        <v>96326</v>
      </c>
      <c r="P18" s="136">
        <f t="shared" si="4"/>
        <v>35000</v>
      </c>
      <c r="Q18" s="136"/>
      <c r="R18" s="222">
        <v>35000</v>
      </c>
      <c r="S18" s="222">
        <f>33885+1500+2000</f>
        <v>37385</v>
      </c>
      <c r="T18" s="222">
        <f>9000+15000+10000</f>
        <v>34000</v>
      </c>
      <c r="U18" s="222">
        <v>26576</v>
      </c>
      <c r="V18" s="197">
        <v>25000</v>
      </c>
      <c r="W18" s="122">
        <f>6000+20000</f>
        <v>26000</v>
      </c>
      <c r="X18" s="122">
        <v>24861</v>
      </c>
      <c r="Y18" s="122">
        <f>56650-7150</f>
        <v>49500</v>
      </c>
      <c r="Z18" s="122">
        <v>41500</v>
      </c>
      <c r="AA18" s="223">
        <v>41500</v>
      </c>
      <c r="AB18" s="226">
        <v>39400</v>
      </c>
      <c r="AC18" s="122">
        <v>10000</v>
      </c>
      <c r="AD18" s="223">
        <v>15000</v>
      </c>
      <c r="AE18" s="223">
        <f>34045-34045</f>
        <v>0</v>
      </c>
      <c r="AF18" s="224">
        <v>15000</v>
      </c>
      <c r="AG18" s="226">
        <f>1650+28700</f>
        <v>30350</v>
      </c>
      <c r="AH18" s="179"/>
      <c r="AI18" s="224">
        <v>7000</v>
      </c>
      <c r="AJ18" s="224">
        <v>0</v>
      </c>
      <c r="AK18" s="224">
        <v>4378</v>
      </c>
      <c r="AL18" s="224">
        <v>6000</v>
      </c>
      <c r="AM18" s="223"/>
      <c r="AN18" s="223"/>
      <c r="AO18" s="122"/>
      <c r="AP18" s="201"/>
    </row>
    <row r="19" spans="2:42" x14ac:dyDescent="0.2">
      <c r="B19" s="13">
        <v>3980</v>
      </c>
      <c r="C19" s="13" t="s">
        <v>12</v>
      </c>
      <c r="D19" s="220"/>
      <c r="E19" s="220">
        <v>0</v>
      </c>
      <c r="F19" s="220"/>
      <c r="G19" s="220"/>
      <c r="H19" s="220"/>
      <c r="I19" s="220">
        <f t="shared" si="5"/>
        <v>0</v>
      </c>
      <c r="J19" s="220">
        <v>0</v>
      </c>
      <c r="K19" s="220">
        <f>S19+X19+Y19+AE19+AE19+AK19</f>
        <v>0</v>
      </c>
      <c r="L19" s="220"/>
      <c r="M19" s="220">
        <f t="shared" si="1"/>
        <v>0</v>
      </c>
      <c r="N19" s="220">
        <f t="shared" si="2"/>
        <v>0</v>
      </c>
      <c r="O19" s="220">
        <f t="shared" si="3"/>
        <v>0</v>
      </c>
      <c r="P19" s="136">
        <f t="shared" si="4"/>
        <v>0</v>
      </c>
      <c r="Q19" s="136"/>
      <c r="R19" s="222"/>
      <c r="S19" s="222"/>
      <c r="T19" s="222"/>
      <c r="U19" s="222"/>
      <c r="V19" s="197"/>
      <c r="W19" s="122"/>
      <c r="X19" s="122"/>
      <c r="Y19" s="122"/>
      <c r="Z19" s="122"/>
      <c r="AA19" s="223"/>
      <c r="AB19" s="223"/>
      <c r="AC19" s="122"/>
      <c r="AD19" s="223"/>
      <c r="AE19" s="223"/>
      <c r="AF19" s="224"/>
      <c r="AG19" s="224"/>
      <c r="AH19" s="179"/>
      <c r="AI19" s="224"/>
      <c r="AJ19" s="224"/>
      <c r="AK19" s="224"/>
      <c r="AL19" s="224"/>
      <c r="AM19" s="223"/>
      <c r="AN19" s="223"/>
      <c r="AO19" s="122"/>
      <c r="AP19" s="201"/>
    </row>
    <row r="20" spans="2:42" x14ac:dyDescent="0.2">
      <c r="B20" s="13">
        <v>3990</v>
      </c>
      <c r="C20" s="134" t="s">
        <v>8</v>
      </c>
      <c r="D20" s="220"/>
      <c r="E20" s="220">
        <v>0</v>
      </c>
      <c r="F20" s="220"/>
      <c r="G20" s="220"/>
      <c r="H20" s="220"/>
      <c r="I20" s="220">
        <f t="shared" si="5"/>
        <v>0</v>
      </c>
      <c r="J20" s="220">
        <v>0</v>
      </c>
      <c r="K20" s="220">
        <f>S20+X20+Y20+AE20+AE20+AK20</f>
        <v>0</v>
      </c>
      <c r="L20" s="220"/>
      <c r="M20" s="220">
        <f t="shared" si="1"/>
        <v>0</v>
      </c>
      <c r="N20" s="220">
        <f t="shared" si="2"/>
        <v>0</v>
      </c>
      <c r="O20" s="220">
        <f t="shared" si="3"/>
        <v>0</v>
      </c>
      <c r="P20" s="136">
        <f t="shared" si="4"/>
        <v>0</v>
      </c>
      <c r="Q20" s="136"/>
      <c r="R20" s="222"/>
      <c r="S20" s="222"/>
      <c r="T20" s="222"/>
      <c r="U20" s="222"/>
      <c r="V20" s="197"/>
      <c r="W20" s="122"/>
      <c r="X20" s="122"/>
      <c r="Y20" s="122"/>
      <c r="Z20" s="122"/>
      <c r="AA20" s="223"/>
      <c r="AB20" s="223"/>
      <c r="AC20" s="122"/>
      <c r="AD20" s="223"/>
      <c r="AE20" s="223"/>
      <c r="AF20" s="224"/>
      <c r="AG20" s="224"/>
      <c r="AH20" s="179"/>
      <c r="AI20" s="224"/>
      <c r="AJ20" s="224"/>
      <c r="AK20" s="224"/>
      <c r="AL20" s="224"/>
      <c r="AM20" s="223"/>
      <c r="AN20" s="223"/>
      <c r="AO20" s="122"/>
      <c r="AP20" s="201"/>
    </row>
    <row r="21" spans="2:42" x14ac:dyDescent="0.2">
      <c r="B21" s="13"/>
      <c r="C21" s="26" t="s">
        <v>14</v>
      </c>
      <c r="D21" s="139">
        <f>SUM(D7:D20)</f>
        <v>375731.8</v>
      </c>
      <c r="E21" s="139">
        <f>SUM(E7:E20)</f>
        <v>601075</v>
      </c>
      <c r="F21" s="139" t="e">
        <f t="shared" ref="F21:N21" si="6">SUM(F7:F20)</f>
        <v>#REF!</v>
      </c>
      <c r="G21" s="139" t="e">
        <f t="shared" si="6"/>
        <v>#REF!</v>
      </c>
      <c r="H21" s="139" t="e">
        <f t="shared" si="6"/>
        <v>#REF!</v>
      </c>
      <c r="I21" s="139" t="e">
        <f t="shared" si="6"/>
        <v>#REF!</v>
      </c>
      <c r="J21" s="139">
        <f t="shared" si="6"/>
        <v>1040392</v>
      </c>
      <c r="K21" s="139">
        <f>SUM(K7:K20)</f>
        <v>497598</v>
      </c>
      <c r="L21" s="139">
        <f t="shared" si="6"/>
        <v>740000</v>
      </c>
      <c r="M21" s="139">
        <f t="shared" si="6"/>
        <v>461400</v>
      </c>
      <c r="N21" s="139">
        <f t="shared" si="6"/>
        <v>339250</v>
      </c>
      <c r="O21" s="139">
        <f>SUM(O7:O20)</f>
        <v>370367</v>
      </c>
      <c r="P21" s="139">
        <f>SUM(P7:P20)</f>
        <v>360000</v>
      </c>
      <c r="Q21" s="139"/>
      <c r="R21" s="139">
        <f>SUM(R7:R20)</f>
        <v>139000</v>
      </c>
      <c r="S21" s="139">
        <f>SUM(S7:S20)</f>
        <v>153176</v>
      </c>
      <c r="T21" s="139">
        <f>SUM(T7:T20)</f>
        <v>114750</v>
      </c>
      <c r="U21" s="139">
        <f>SUM(U7:U20)</f>
        <v>105856</v>
      </c>
      <c r="V21" s="139">
        <f>SUM(V7:V20)</f>
        <v>115000</v>
      </c>
      <c r="W21" s="139">
        <f t="shared" ref="W21:AB21" si="7">SUM(W7:W20)</f>
        <v>64000</v>
      </c>
      <c r="X21" s="139">
        <f t="shared" si="7"/>
        <v>72339</v>
      </c>
      <c r="Y21" s="139">
        <f t="shared" si="7"/>
        <v>82446</v>
      </c>
      <c r="Z21" s="139">
        <f t="shared" si="7"/>
        <v>59500</v>
      </c>
      <c r="AA21" s="139">
        <f t="shared" si="7"/>
        <v>59500</v>
      </c>
      <c r="AB21" s="139">
        <f t="shared" si="7"/>
        <v>78823</v>
      </c>
      <c r="AC21" s="139">
        <f>SUM(AC7:AC20)</f>
        <v>60000</v>
      </c>
      <c r="AD21" s="139">
        <f t="shared" ref="AD21:AN21" si="8">SUM(AD7:AD20)</f>
        <v>117000</v>
      </c>
      <c r="AE21" s="139">
        <f t="shared" si="8"/>
        <v>108912</v>
      </c>
      <c r="AF21" s="139">
        <f t="shared" si="8"/>
        <v>100000</v>
      </c>
      <c r="AG21" s="139">
        <f t="shared" si="8"/>
        <v>128788</v>
      </c>
      <c r="AH21" s="139">
        <f t="shared" si="8"/>
        <v>95000</v>
      </c>
      <c r="AI21" s="180">
        <f>SUM(AI7:AI20)</f>
        <v>103000</v>
      </c>
      <c r="AJ21" s="180">
        <f t="shared" si="8"/>
        <v>90000</v>
      </c>
      <c r="AK21" s="180">
        <f>SUM(AK7:AK20)</f>
        <v>80525</v>
      </c>
      <c r="AL21" s="180">
        <f t="shared" si="8"/>
        <v>81900</v>
      </c>
      <c r="AM21" s="180">
        <f t="shared" si="8"/>
        <v>65000</v>
      </c>
      <c r="AN21" s="180">
        <f t="shared" si="8"/>
        <v>56900</v>
      </c>
      <c r="AO21" s="139">
        <f>SUM(AO7:AO20)</f>
        <v>90000</v>
      </c>
      <c r="AP21" s="202"/>
    </row>
    <row r="22" spans="2:42" x14ac:dyDescent="0.2">
      <c r="B22" s="13"/>
      <c r="C22" s="12" t="s">
        <v>15</v>
      </c>
      <c r="D22" s="221"/>
      <c r="E22" s="221"/>
      <c r="F22" s="221"/>
      <c r="G22" s="221"/>
      <c r="H22" s="221"/>
      <c r="I22" s="221"/>
      <c r="J22" s="221"/>
      <c r="K22" s="220"/>
      <c r="L22" s="221"/>
      <c r="M22" s="221"/>
      <c r="N22" s="221"/>
      <c r="O22" s="220"/>
      <c r="P22" s="133"/>
      <c r="Q22" s="133"/>
      <c r="R22" s="223"/>
      <c r="S22" s="223"/>
      <c r="T22" s="223"/>
      <c r="U22" s="223"/>
      <c r="V22" s="195"/>
      <c r="W22" s="122"/>
      <c r="X22" s="122"/>
      <c r="Y22" s="122"/>
      <c r="Z22" s="122"/>
      <c r="AA22" s="223"/>
      <c r="AB22" s="223"/>
      <c r="AC22" s="122"/>
      <c r="AD22" s="223"/>
      <c r="AE22" s="223"/>
      <c r="AF22" s="224"/>
      <c r="AG22" s="224"/>
      <c r="AH22" s="179"/>
      <c r="AI22" s="224">
        <f>SUM(Q22:Z22)</f>
        <v>0</v>
      </c>
      <c r="AJ22" s="224"/>
      <c r="AK22" s="224"/>
      <c r="AL22" s="224"/>
      <c r="AM22" s="223"/>
      <c r="AN22" s="223"/>
      <c r="AO22" s="122"/>
      <c r="AP22" s="124"/>
    </row>
    <row r="23" spans="2:42" x14ac:dyDescent="0.2">
      <c r="B23" s="13">
        <v>4210</v>
      </c>
      <c r="C23" s="13" t="s">
        <v>16</v>
      </c>
      <c r="D23" s="221">
        <v>6172</v>
      </c>
      <c r="E23" s="220">
        <v>5280</v>
      </c>
      <c r="F23" s="220" t="e">
        <f>I23+L23+#REF!+#REF!+#REF!</f>
        <v>#REF!</v>
      </c>
      <c r="G23" s="220" t="e">
        <f>J23+Q23+#REF!+#REF!+#REF!</f>
        <v>#REF!</v>
      </c>
      <c r="H23" s="220" t="e">
        <f>L23+#REF!+#REF!+#REF!+#REF!</f>
        <v>#REF!</v>
      </c>
      <c r="I23" s="220" t="e">
        <f>Q23+#REF!+#REF!+#REF!+#REF!</f>
        <v>#REF!</v>
      </c>
      <c r="J23" s="220">
        <v>5733</v>
      </c>
      <c r="K23" s="220">
        <f t="shared" ref="K23:K54" si="9">S23+X23+Y23+AE23+AK23</f>
        <v>0</v>
      </c>
      <c r="L23" s="220">
        <v>6000</v>
      </c>
      <c r="M23" s="220">
        <f t="shared" ref="M23:M54" si="10">R23+W23+Z23+AD23+AL23</f>
        <v>6000</v>
      </c>
      <c r="N23" s="220">
        <f t="shared" ref="N23:N54" si="11">T23+AA23+AF23+AM23</f>
        <v>6000</v>
      </c>
      <c r="O23" s="220">
        <f t="shared" ref="O23:O54" si="12">U23+AB23+AG23+AN23</f>
        <v>4762</v>
      </c>
      <c r="P23" s="136">
        <f t="shared" ref="P23:P54" si="13">V23+AC23+AH23+AO23</f>
        <v>5500</v>
      </c>
      <c r="Q23" s="133"/>
      <c r="R23" s="223">
        <v>6000</v>
      </c>
      <c r="S23" s="223"/>
      <c r="T23" s="223">
        <v>6000</v>
      </c>
      <c r="U23" s="223">
        <v>2948</v>
      </c>
      <c r="V23" s="195">
        <v>4000</v>
      </c>
      <c r="W23" s="122"/>
      <c r="X23" s="122"/>
      <c r="Y23" s="122"/>
      <c r="Z23" s="122"/>
      <c r="AA23" s="223"/>
      <c r="AB23" s="223"/>
      <c r="AC23" s="122"/>
      <c r="AD23" s="223"/>
      <c r="AE23" s="223"/>
      <c r="AF23" s="224"/>
      <c r="AG23" s="226">
        <v>1814</v>
      </c>
      <c r="AH23" s="179">
        <v>1500</v>
      </c>
      <c r="AI23" s="224"/>
      <c r="AJ23" s="224"/>
      <c r="AK23" s="224"/>
      <c r="AL23" s="224"/>
      <c r="AM23" s="223"/>
      <c r="AN23" s="223"/>
      <c r="AO23" s="122"/>
      <c r="AP23" s="124"/>
    </row>
    <row r="24" spans="2:42" x14ac:dyDescent="0.2">
      <c r="B24" s="13">
        <v>4220</v>
      </c>
      <c r="C24" s="13" t="s">
        <v>17</v>
      </c>
      <c r="D24" s="221"/>
      <c r="E24" s="220">
        <v>0</v>
      </c>
      <c r="F24" s="221"/>
      <c r="G24" s="221"/>
      <c r="H24" s="221"/>
      <c r="I24" s="221">
        <f t="shared" ref="I24:I54" si="14">SUM(F24:H24)</f>
        <v>0</v>
      </c>
      <c r="J24" s="220">
        <v>0</v>
      </c>
      <c r="K24" s="220">
        <f t="shared" si="9"/>
        <v>0</v>
      </c>
      <c r="L24" s="220"/>
      <c r="M24" s="220">
        <f t="shared" si="10"/>
        <v>0</v>
      </c>
      <c r="N24" s="220">
        <f t="shared" si="11"/>
        <v>0</v>
      </c>
      <c r="O24" s="220">
        <f t="shared" si="12"/>
        <v>0</v>
      </c>
      <c r="P24" s="136">
        <f t="shared" si="13"/>
        <v>0</v>
      </c>
      <c r="Q24" s="133"/>
      <c r="R24" s="223"/>
      <c r="S24" s="223"/>
      <c r="T24" s="223"/>
      <c r="U24" s="223"/>
      <c r="V24" s="195"/>
      <c r="W24" s="122"/>
      <c r="X24" s="122"/>
      <c r="Y24" s="122"/>
      <c r="Z24" s="122"/>
      <c r="AA24" s="223"/>
      <c r="AB24" s="223"/>
      <c r="AC24" s="122"/>
      <c r="AD24" s="223"/>
      <c r="AE24" s="223"/>
      <c r="AF24" s="224"/>
      <c r="AG24" s="224"/>
      <c r="AH24" s="179"/>
      <c r="AI24" s="224"/>
      <c r="AJ24" s="224"/>
      <c r="AK24" s="224"/>
      <c r="AL24" s="224"/>
      <c r="AM24" s="223"/>
      <c r="AN24" s="223"/>
      <c r="AO24" s="122"/>
      <c r="AP24" s="124"/>
    </row>
    <row r="25" spans="2:42" x14ac:dyDescent="0.2">
      <c r="B25" s="13">
        <v>4225</v>
      </c>
      <c r="C25" s="13" t="s">
        <v>19</v>
      </c>
      <c r="D25" s="221">
        <f>2500+23000</f>
        <v>25500</v>
      </c>
      <c r="E25" s="220">
        <v>106114</v>
      </c>
      <c r="F25" s="221">
        <v>2500</v>
      </c>
      <c r="G25" s="221">
        <v>23000</v>
      </c>
      <c r="H25" s="221"/>
      <c r="I25" s="221">
        <f t="shared" si="14"/>
        <v>25500</v>
      </c>
      <c r="J25" s="220">
        <v>81369</v>
      </c>
      <c r="K25" s="220">
        <f t="shared" si="9"/>
        <v>24990</v>
      </c>
      <c r="L25" s="220">
        <v>68000</v>
      </c>
      <c r="M25" s="220">
        <f t="shared" si="10"/>
        <v>8000</v>
      </c>
      <c r="N25" s="220">
        <f t="shared" si="11"/>
        <v>8000</v>
      </c>
      <c r="O25" s="220">
        <f t="shared" si="12"/>
        <v>10996</v>
      </c>
      <c r="P25" s="136">
        <f t="shared" si="13"/>
        <v>0</v>
      </c>
      <c r="Q25" s="133"/>
      <c r="R25" s="223">
        <v>8000</v>
      </c>
      <c r="S25" s="223"/>
      <c r="T25" s="223">
        <v>8000</v>
      </c>
      <c r="U25" s="223">
        <v>1000</v>
      </c>
      <c r="V25" s="195"/>
      <c r="W25" s="122"/>
      <c r="X25" s="122"/>
      <c r="Y25" s="122">
        <v>24990</v>
      </c>
      <c r="Z25" s="122"/>
      <c r="AA25" s="223"/>
      <c r="AB25" s="226">
        <v>9996</v>
      </c>
      <c r="AC25" s="122"/>
      <c r="AD25" s="223"/>
      <c r="AE25" s="223"/>
      <c r="AF25" s="224"/>
      <c r="AG25" s="224"/>
      <c r="AH25" s="179"/>
      <c r="AI25" s="224"/>
      <c r="AJ25" s="224"/>
      <c r="AK25" s="224"/>
      <c r="AL25" s="224"/>
      <c r="AM25" s="223"/>
      <c r="AN25" s="223"/>
      <c r="AO25" s="122"/>
      <c r="AP25" s="124"/>
    </row>
    <row r="26" spans="2:42" x14ac:dyDescent="0.2">
      <c r="B26" s="13">
        <v>4300</v>
      </c>
      <c r="C26" s="13" t="s">
        <v>18</v>
      </c>
      <c r="D26" s="221"/>
      <c r="E26" s="220">
        <v>0</v>
      </c>
      <c r="F26" s="221"/>
      <c r="G26" s="221"/>
      <c r="H26" s="221"/>
      <c r="I26" s="221">
        <f t="shared" si="14"/>
        <v>0</v>
      </c>
      <c r="J26" s="220">
        <v>0</v>
      </c>
      <c r="K26" s="220">
        <f t="shared" si="9"/>
        <v>0</v>
      </c>
      <c r="L26" s="220"/>
      <c r="M26" s="220">
        <f t="shared" si="10"/>
        <v>0</v>
      </c>
      <c r="N26" s="220">
        <f t="shared" si="11"/>
        <v>0</v>
      </c>
      <c r="O26" s="220">
        <f t="shared" si="12"/>
        <v>0</v>
      </c>
      <c r="P26" s="136">
        <f t="shared" si="13"/>
        <v>0</v>
      </c>
      <c r="Q26" s="133"/>
      <c r="R26" s="223"/>
      <c r="S26" s="223"/>
      <c r="T26" s="223"/>
      <c r="U26" s="223"/>
      <c r="V26" s="195"/>
      <c r="W26" s="122"/>
      <c r="X26" s="122"/>
      <c r="Y26" s="122"/>
      <c r="Z26" s="122"/>
      <c r="AA26" s="223"/>
      <c r="AB26" s="223"/>
      <c r="AC26" s="122"/>
      <c r="AD26" s="223"/>
      <c r="AE26" s="223"/>
      <c r="AF26" s="224"/>
      <c r="AG26" s="224"/>
      <c r="AH26" s="179"/>
      <c r="AI26" s="224"/>
      <c r="AJ26" s="224"/>
      <c r="AK26" s="224"/>
      <c r="AL26" s="224"/>
      <c r="AM26" s="223"/>
      <c r="AN26" s="223"/>
      <c r="AO26" s="122"/>
      <c r="AP26" s="124"/>
    </row>
    <row r="27" spans="2:42" x14ac:dyDescent="0.2">
      <c r="B27" s="13">
        <v>5000</v>
      </c>
      <c r="C27" s="13" t="s">
        <v>20</v>
      </c>
      <c r="D27" s="221"/>
      <c r="E27" s="220">
        <v>0</v>
      </c>
      <c r="F27" s="221"/>
      <c r="G27" s="221"/>
      <c r="H27" s="221"/>
      <c r="I27" s="221">
        <f t="shared" si="14"/>
        <v>0</v>
      </c>
      <c r="J27" s="220">
        <v>0</v>
      </c>
      <c r="K27" s="220">
        <f t="shared" si="9"/>
        <v>10000</v>
      </c>
      <c r="L27" s="220"/>
      <c r="M27" s="220">
        <f t="shared" si="10"/>
        <v>0</v>
      </c>
      <c r="N27" s="220">
        <f t="shared" si="11"/>
        <v>0</v>
      </c>
      <c r="O27" s="220">
        <f t="shared" si="12"/>
        <v>0</v>
      </c>
      <c r="P27" s="136">
        <f t="shared" si="13"/>
        <v>0</v>
      </c>
      <c r="Q27" s="133"/>
      <c r="R27" s="223"/>
      <c r="S27" s="223"/>
      <c r="T27" s="223"/>
      <c r="U27" s="223"/>
      <c r="V27" s="195"/>
      <c r="W27" s="122"/>
      <c r="X27" s="122"/>
      <c r="Y27" s="122"/>
      <c r="Z27" s="122"/>
      <c r="AA27" s="223"/>
      <c r="AB27" s="223"/>
      <c r="AC27" s="122"/>
      <c r="AD27" s="223"/>
      <c r="AE27" s="223">
        <v>10000</v>
      </c>
      <c r="AF27" s="224"/>
      <c r="AG27" s="224"/>
      <c r="AH27" s="179"/>
      <c r="AI27" s="224"/>
      <c r="AJ27" s="224"/>
      <c r="AK27" s="224"/>
      <c r="AL27" s="224"/>
      <c r="AM27" s="223"/>
      <c r="AN27" s="223"/>
      <c r="AO27" s="122"/>
      <c r="AP27" s="124"/>
    </row>
    <row r="28" spans="2:42" x14ac:dyDescent="0.2">
      <c r="B28" s="13">
        <v>6315</v>
      </c>
      <c r="C28" s="13" t="s">
        <v>22</v>
      </c>
      <c r="D28" s="221"/>
      <c r="E28" s="220">
        <v>0</v>
      </c>
      <c r="F28" s="221"/>
      <c r="G28" s="221"/>
      <c r="H28" s="221"/>
      <c r="I28" s="221">
        <f t="shared" si="14"/>
        <v>0</v>
      </c>
      <c r="J28" s="220">
        <v>0</v>
      </c>
      <c r="K28" s="220">
        <f t="shared" si="9"/>
        <v>0</v>
      </c>
      <c r="L28" s="220"/>
      <c r="M28" s="220">
        <f t="shared" si="10"/>
        <v>0</v>
      </c>
      <c r="N28" s="220">
        <f t="shared" si="11"/>
        <v>0</v>
      </c>
      <c r="O28" s="220">
        <f t="shared" si="12"/>
        <v>0</v>
      </c>
      <c r="P28" s="136">
        <f t="shared" si="13"/>
        <v>0</v>
      </c>
      <c r="Q28" s="133"/>
      <c r="R28" s="223"/>
      <c r="S28" s="223"/>
      <c r="T28" s="223"/>
      <c r="U28" s="223"/>
      <c r="V28" s="195"/>
      <c r="W28" s="122"/>
      <c r="X28" s="122"/>
      <c r="Y28" s="122"/>
      <c r="Z28" s="122"/>
      <c r="AA28" s="223"/>
      <c r="AB28" s="223"/>
      <c r="AC28" s="122"/>
      <c r="AD28" s="223"/>
      <c r="AE28" s="223"/>
      <c r="AF28" s="224"/>
      <c r="AG28" s="224"/>
      <c r="AH28" s="179"/>
      <c r="AI28" s="224"/>
      <c r="AJ28" s="224"/>
      <c r="AK28" s="224"/>
      <c r="AL28" s="224"/>
      <c r="AM28" s="223"/>
      <c r="AN28" s="223"/>
      <c r="AO28" s="122"/>
      <c r="AP28" s="124"/>
    </row>
    <row r="29" spans="2:42" x14ac:dyDescent="0.2">
      <c r="B29" s="13">
        <v>6316</v>
      </c>
      <c r="C29" s="13" t="s">
        <v>39</v>
      </c>
      <c r="D29" s="221"/>
      <c r="E29" s="220">
        <v>0</v>
      </c>
      <c r="F29" s="221"/>
      <c r="G29" s="221"/>
      <c r="H29" s="221"/>
      <c r="I29" s="221">
        <f t="shared" si="14"/>
        <v>0</v>
      </c>
      <c r="J29" s="220">
        <v>0</v>
      </c>
      <c r="K29" s="220">
        <f t="shared" si="9"/>
        <v>0</v>
      </c>
      <c r="L29" s="220"/>
      <c r="M29" s="220">
        <f t="shared" si="10"/>
        <v>0</v>
      </c>
      <c r="N29" s="220">
        <f t="shared" si="11"/>
        <v>0</v>
      </c>
      <c r="O29" s="220">
        <f t="shared" si="12"/>
        <v>0</v>
      </c>
      <c r="P29" s="136">
        <f t="shared" si="13"/>
        <v>0</v>
      </c>
      <c r="Q29" s="133"/>
      <c r="R29" s="223"/>
      <c r="S29" s="223"/>
      <c r="T29" s="223"/>
      <c r="U29" s="223"/>
      <c r="V29" s="195"/>
      <c r="W29" s="122"/>
      <c r="X29" s="122"/>
      <c r="Y29" s="122"/>
      <c r="Z29" s="122"/>
      <c r="AA29" s="223"/>
      <c r="AB29" s="223"/>
      <c r="AC29" s="122"/>
      <c r="AD29" s="223"/>
      <c r="AE29" s="223"/>
      <c r="AF29" s="224"/>
      <c r="AG29" s="224"/>
      <c r="AH29" s="179"/>
      <c r="AI29" s="224"/>
      <c r="AJ29" s="224"/>
      <c r="AK29" s="224"/>
      <c r="AL29" s="224"/>
      <c r="AM29" s="223"/>
      <c r="AN29" s="223"/>
      <c r="AO29" s="122"/>
      <c r="AP29" s="124"/>
    </row>
    <row r="30" spans="2:42" x14ac:dyDescent="0.2">
      <c r="B30" s="13">
        <v>6320</v>
      </c>
      <c r="C30" s="13" t="s">
        <v>23</v>
      </c>
      <c r="D30" s="221"/>
      <c r="E30" s="220">
        <v>0</v>
      </c>
      <c r="F30" s="221"/>
      <c r="G30" s="221"/>
      <c r="H30" s="221"/>
      <c r="I30" s="221">
        <f t="shared" si="14"/>
        <v>0</v>
      </c>
      <c r="J30" s="220">
        <v>0</v>
      </c>
      <c r="K30" s="220">
        <f t="shared" si="9"/>
        <v>0</v>
      </c>
      <c r="L30" s="220"/>
      <c r="M30" s="220">
        <f t="shared" si="10"/>
        <v>0</v>
      </c>
      <c r="N30" s="220">
        <f t="shared" si="11"/>
        <v>0</v>
      </c>
      <c r="O30" s="220">
        <f t="shared" si="12"/>
        <v>8191</v>
      </c>
      <c r="P30" s="136">
        <f t="shared" si="13"/>
        <v>10000</v>
      </c>
      <c r="Q30" s="133"/>
      <c r="R30" s="223"/>
      <c r="S30" s="223"/>
      <c r="T30" s="223"/>
      <c r="U30" s="223">
        <v>8191</v>
      </c>
      <c r="V30" s="195">
        <v>10000</v>
      </c>
      <c r="W30" s="122"/>
      <c r="X30" s="122"/>
      <c r="Y30" s="122"/>
      <c r="Z30" s="122"/>
      <c r="AA30" s="223"/>
      <c r="AB30" s="223"/>
      <c r="AC30" s="122"/>
      <c r="AD30" s="223"/>
      <c r="AE30" s="223"/>
      <c r="AF30" s="224"/>
      <c r="AG30" s="224"/>
      <c r="AH30" s="179"/>
      <c r="AI30" s="224"/>
      <c r="AJ30" s="224"/>
      <c r="AK30" s="224"/>
      <c r="AL30" s="224"/>
      <c r="AM30" s="223"/>
      <c r="AN30" s="223"/>
      <c r="AO30" s="122"/>
      <c r="AP30" s="124"/>
    </row>
    <row r="31" spans="2:42" x14ac:dyDescent="0.2">
      <c r="B31" s="13">
        <v>6340</v>
      </c>
      <c r="C31" s="13" t="s">
        <v>41</v>
      </c>
      <c r="D31" s="221"/>
      <c r="E31" s="220">
        <v>0</v>
      </c>
      <c r="F31" s="221"/>
      <c r="G31" s="221"/>
      <c r="H31" s="221"/>
      <c r="I31" s="221">
        <f t="shared" si="14"/>
        <v>0</v>
      </c>
      <c r="J31" s="220">
        <v>0</v>
      </c>
      <c r="K31" s="220">
        <f t="shared" si="9"/>
        <v>0</v>
      </c>
      <c r="L31" s="220"/>
      <c r="M31" s="220">
        <f t="shared" si="10"/>
        <v>0</v>
      </c>
      <c r="N31" s="220">
        <f t="shared" si="11"/>
        <v>0</v>
      </c>
      <c r="O31" s="220">
        <f t="shared" si="12"/>
        <v>0</v>
      </c>
      <c r="P31" s="136">
        <f t="shared" si="13"/>
        <v>0</v>
      </c>
      <c r="Q31" s="133"/>
      <c r="R31" s="223"/>
      <c r="S31" s="223"/>
      <c r="T31" s="223"/>
      <c r="U31" s="223"/>
      <c r="V31" s="195"/>
      <c r="W31" s="122"/>
      <c r="X31" s="122"/>
      <c r="Y31" s="122"/>
      <c r="Z31" s="122"/>
      <c r="AA31" s="223"/>
      <c r="AB31" s="223"/>
      <c r="AC31" s="122"/>
      <c r="AD31" s="223"/>
      <c r="AE31" s="223"/>
      <c r="AF31" s="224"/>
      <c r="AG31" s="224"/>
      <c r="AH31" s="179"/>
      <c r="AI31" s="224"/>
      <c r="AJ31" s="224"/>
      <c r="AK31" s="224"/>
      <c r="AL31" s="224"/>
      <c r="AM31" s="223"/>
      <c r="AN31" s="223"/>
      <c r="AO31" s="122"/>
      <c r="AP31" s="124"/>
    </row>
    <row r="32" spans="2:42" x14ac:dyDescent="0.2">
      <c r="B32" s="13">
        <v>6340</v>
      </c>
      <c r="C32" s="13" t="s">
        <v>42</v>
      </c>
      <c r="D32" s="221"/>
      <c r="E32" s="220">
        <v>0</v>
      </c>
      <c r="F32" s="221"/>
      <c r="G32" s="221"/>
      <c r="H32" s="221"/>
      <c r="I32" s="221">
        <f t="shared" si="14"/>
        <v>0</v>
      </c>
      <c r="J32" s="220">
        <v>0</v>
      </c>
      <c r="K32" s="220">
        <f t="shared" si="9"/>
        <v>0</v>
      </c>
      <c r="L32" s="220"/>
      <c r="M32" s="220">
        <f t="shared" si="10"/>
        <v>0</v>
      </c>
      <c r="N32" s="220">
        <f t="shared" si="11"/>
        <v>0</v>
      </c>
      <c r="O32" s="220">
        <f t="shared" si="12"/>
        <v>0</v>
      </c>
      <c r="P32" s="136">
        <f t="shared" si="13"/>
        <v>0</v>
      </c>
      <c r="Q32" s="133"/>
      <c r="R32" s="223"/>
      <c r="S32" s="223"/>
      <c r="T32" s="223"/>
      <c r="U32" s="223"/>
      <c r="V32" s="195"/>
      <c r="W32" s="122"/>
      <c r="X32" s="122"/>
      <c r="Y32" s="122"/>
      <c r="Z32" s="122"/>
      <c r="AA32" s="223"/>
      <c r="AB32" s="223"/>
      <c r="AC32" s="122"/>
      <c r="AD32" s="223"/>
      <c r="AE32" s="223"/>
      <c r="AF32" s="224"/>
      <c r="AG32" s="224"/>
      <c r="AH32" s="179"/>
      <c r="AI32" s="224"/>
      <c r="AJ32" s="224"/>
      <c r="AK32" s="224"/>
      <c r="AL32" s="224"/>
      <c r="AM32" s="223"/>
      <c r="AN32" s="223"/>
      <c r="AO32" s="122"/>
      <c r="AP32" s="124"/>
    </row>
    <row r="33" spans="2:42" x14ac:dyDescent="0.2">
      <c r="B33" s="13">
        <v>6550</v>
      </c>
      <c r="C33" s="13" t="s">
        <v>40</v>
      </c>
      <c r="D33" s="221">
        <f>22360+14524</f>
        <v>36884</v>
      </c>
      <c r="E33" s="220">
        <v>51304</v>
      </c>
      <c r="F33" s="221">
        <v>14524</v>
      </c>
      <c r="G33" s="221"/>
      <c r="H33" s="221">
        <v>22360</v>
      </c>
      <c r="I33" s="221">
        <f t="shared" si="14"/>
        <v>36884</v>
      </c>
      <c r="J33" s="220">
        <v>56414</v>
      </c>
      <c r="K33" s="220">
        <f t="shared" si="9"/>
        <v>25096</v>
      </c>
      <c r="L33" s="220">
        <v>45000</v>
      </c>
      <c r="M33" s="220">
        <f t="shared" si="10"/>
        <v>46000</v>
      </c>
      <c r="N33" s="220">
        <f t="shared" si="11"/>
        <v>31000</v>
      </c>
      <c r="O33" s="220">
        <f t="shared" si="12"/>
        <v>44000.2</v>
      </c>
      <c r="P33" s="136">
        <f t="shared" si="13"/>
        <v>43000</v>
      </c>
      <c r="Q33" s="133"/>
      <c r="R33" s="223">
        <v>25000</v>
      </c>
      <c r="S33" s="223">
        <v>11081.6</v>
      </c>
      <c r="T33" s="223">
        <v>20000</v>
      </c>
      <c r="U33" s="223">
        <v>27729</v>
      </c>
      <c r="V33" s="195">
        <v>25000</v>
      </c>
      <c r="W33" s="122">
        <v>3000</v>
      </c>
      <c r="X33" s="122">
        <v>1832.8</v>
      </c>
      <c r="Y33" s="122"/>
      <c r="Z33" s="122">
        <v>2000</v>
      </c>
      <c r="AA33" s="223">
        <v>2000</v>
      </c>
      <c r="AB33" s="223"/>
      <c r="AC33" s="122">
        <v>2000</v>
      </c>
      <c r="AD33" s="223">
        <v>12000</v>
      </c>
      <c r="AE33" s="223">
        <v>11381.6</v>
      </c>
      <c r="AF33" s="224">
        <v>5000</v>
      </c>
      <c r="AG33" s="224">
        <v>5964</v>
      </c>
      <c r="AH33" s="179">
        <v>6000</v>
      </c>
      <c r="AI33" s="224">
        <v>4000</v>
      </c>
      <c r="AJ33" s="224">
        <v>1879</v>
      </c>
      <c r="AK33" s="224">
        <v>800</v>
      </c>
      <c r="AL33" s="224">
        <v>4000</v>
      </c>
      <c r="AM33" s="223">
        <v>4000</v>
      </c>
      <c r="AN33" s="226">
        <v>10307.200000000001</v>
      </c>
      <c r="AO33" s="122">
        <v>10000</v>
      </c>
      <c r="AP33" s="124"/>
    </row>
    <row r="34" spans="2:42" x14ac:dyDescent="0.2">
      <c r="B34" s="13">
        <v>6600</v>
      </c>
      <c r="C34" s="13" t="s">
        <v>24</v>
      </c>
      <c r="D34" s="221"/>
      <c r="E34" s="220">
        <v>0</v>
      </c>
      <c r="F34" s="221"/>
      <c r="G34" s="221"/>
      <c r="H34" s="221"/>
      <c r="I34" s="221">
        <f t="shared" si="14"/>
        <v>0</v>
      </c>
      <c r="J34" s="220">
        <v>0</v>
      </c>
      <c r="K34" s="220">
        <f t="shared" si="9"/>
        <v>0</v>
      </c>
      <c r="L34" s="220"/>
      <c r="M34" s="220">
        <f t="shared" si="10"/>
        <v>0</v>
      </c>
      <c r="N34" s="220">
        <f t="shared" si="11"/>
        <v>0</v>
      </c>
      <c r="O34" s="220">
        <f t="shared" si="12"/>
        <v>0</v>
      </c>
      <c r="P34" s="136">
        <f t="shared" si="13"/>
        <v>0</v>
      </c>
      <c r="Q34" s="133"/>
      <c r="R34" s="223"/>
      <c r="S34" s="223"/>
      <c r="T34" s="223"/>
      <c r="U34" s="223"/>
      <c r="V34" s="195"/>
      <c r="W34" s="122"/>
      <c r="X34" s="122"/>
      <c r="Y34" s="122"/>
      <c r="Z34" s="122"/>
      <c r="AA34" s="223"/>
      <c r="AB34" s="223"/>
      <c r="AC34" s="122"/>
      <c r="AD34" s="223"/>
      <c r="AE34" s="223"/>
      <c r="AF34" s="224"/>
      <c r="AG34" s="224"/>
      <c r="AH34" s="179"/>
      <c r="AI34" s="224"/>
      <c r="AJ34" s="224"/>
      <c r="AK34" s="224"/>
      <c r="AL34" s="224"/>
      <c r="AM34" s="223"/>
      <c r="AN34" s="223"/>
      <c r="AO34" s="122"/>
      <c r="AP34" s="124"/>
    </row>
    <row r="35" spans="2:42" x14ac:dyDescent="0.2">
      <c r="B35" s="13">
        <v>6620</v>
      </c>
      <c r="C35" s="13" t="s">
        <v>25</v>
      </c>
      <c r="D35" s="221"/>
      <c r="E35" s="220">
        <v>0</v>
      </c>
      <c r="F35" s="221"/>
      <c r="G35" s="221"/>
      <c r="H35" s="221"/>
      <c r="I35" s="221">
        <f t="shared" si="14"/>
        <v>0</v>
      </c>
      <c r="J35" s="220">
        <v>1649</v>
      </c>
      <c r="K35" s="220">
        <f t="shared" si="9"/>
        <v>0</v>
      </c>
      <c r="L35" s="220"/>
      <c r="M35" s="220">
        <f t="shared" si="10"/>
        <v>0</v>
      </c>
      <c r="N35" s="220">
        <f t="shared" si="11"/>
        <v>0</v>
      </c>
      <c r="O35" s="220">
        <f t="shared" si="12"/>
        <v>0</v>
      </c>
      <c r="P35" s="136">
        <f t="shared" si="13"/>
        <v>0</v>
      </c>
      <c r="Q35" s="133"/>
      <c r="R35" s="223"/>
      <c r="S35" s="223"/>
      <c r="T35" s="223"/>
      <c r="U35" s="223"/>
      <c r="V35" s="195"/>
      <c r="W35" s="122"/>
      <c r="X35" s="122"/>
      <c r="Y35" s="122"/>
      <c r="Z35" s="122"/>
      <c r="AA35" s="223"/>
      <c r="AB35" s="223"/>
      <c r="AC35" s="122"/>
      <c r="AD35" s="223"/>
      <c r="AE35" s="223"/>
      <c r="AF35" s="224"/>
      <c r="AG35" s="224"/>
      <c r="AH35" s="179"/>
      <c r="AI35" s="224"/>
      <c r="AJ35" s="224"/>
      <c r="AK35" s="224"/>
      <c r="AL35" s="224"/>
      <c r="AM35" s="223"/>
      <c r="AN35" s="223"/>
      <c r="AO35" s="122"/>
      <c r="AP35" s="124"/>
    </row>
    <row r="36" spans="2:42" x14ac:dyDescent="0.2">
      <c r="B36" s="13">
        <v>6630</v>
      </c>
      <c r="C36" s="13" t="s">
        <v>47</v>
      </c>
      <c r="D36" s="221"/>
      <c r="E36" s="220">
        <v>0</v>
      </c>
      <c r="F36" s="221"/>
      <c r="G36" s="221"/>
      <c r="H36" s="221"/>
      <c r="I36" s="221">
        <f t="shared" si="14"/>
        <v>0</v>
      </c>
      <c r="J36" s="220">
        <v>0</v>
      </c>
      <c r="K36" s="220">
        <f t="shared" si="9"/>
        <v>0</v>
      </c>
      <c r="L36" s="220"/>
      <c r="M36" s="220">
        <f t="shared" si="10"/>
        <v>0</v>
      </c>
      <c r="N36" s="220">
        <f t="shared" si="11"/>
        <v>0</v>
      </c>
      <c r="O36" s="220">
        <f t="shared" si="12"/>
        <v>0</v>
      </c>
      <c r="P36" s="136">
        <f t="shared" si="13"/>
        <v>0</v>
      </c>
      <c r="Q36" s="133"/>
      <c r="R36" s="223"/>
      <c r="S36" s="223"/>
      <c r="T36" s="223"/>
      <c r="U36" s="223"/>
      <c r="V36" s="195"/>
      <c r="W36" s="122"/>
      <c r="X36" s="122"/>
      <c r="Y36" s="122"/>
      <c r="Z36" s="122"/>
      <c r="AA36" s="223"/>
      <c r="AB36" s="223"/>
      <c r="AC36" s="122"/>
      <c r="AD36" s="223"/>
      <c r="AE36" s="223"/>
      <c r="AF36" s="224"/>
      <c r="AG36" s="224"/>
      <c r="AH36" s="179"/>
      <c r="AI36" s="224"/>
      <c r="AJ36" s="224"/>
      <c r="AK36" s="224"/>
      <c r="AL36" s="224"/>
      <c r="AM36" s="223"/>
      <c r="AN36" s="223"/>
      <c r="AO36" s="122"/>
      <c r="AP36" s="124"/>
    </row>
    <row r="37" spans="2:42" x14ac:dyDescent="0.2">
      <c r="B37" s="13">
        <v>6705</v>
      </c>
      <c r="C37" s="134" t="s">
        <v>28</v>
      </c>
      <c r="D37" s="221"/>
      <c r="E37" s="220">
        <v>0</v>
      </c>
      <c r="F37" s="221"/>
      <c r="G37" s="221"/>
      <c r="H37" s="221"/>
      <c r="I37" s="221">
        <f t="shared" si="14"/>
        <v>0</v>
      </c>
      <c r="J37" s="220">
        <v>0</v>
      </c>
      <c r="K37" s="220">
        <f t="shared" si="9"/>
        <v>0</v>
      </c>
      <c r="L37" s="220"/>
      <c r="M37" s="220">
        <f t="shared" si="10"/>
        <v>0</v>
      </c>
      <c r="N37" s="220">
        <f t="shared" si="11"/>
        <v>0</v>
      </c>
      <c r="O37" s="220">
        <f t="shared" si="12"/>
        <v>0</v>
      </c>
      <c r="P37" s="136">
        <f t="shared" si="13"/>
        <v>0</v>
      </c>
      <c r="Q37" s="133"/>
      <c r="R37" s="223"/>
      <c r="S37" s="223"/>
      <c r="T37" s="223"/>
      <c r="U37" s="223"/>
      <c r="V37" s="195"/>
      <c r="W37" s="122"/>
      <c r="X37" s="122"/>
      <c r="Y37" s="122"/>
      <c r="Z37" s="122"/>
      <c r="AA37" s="223"/>
      <c r="AB37" s="223"/>
      <c r="AC37" s="122"/>
      <c r="AD37" s="223"/>
      <c r="AE37" s="223"/>
      <c r="AF37" s="224"/>
      <c r="AG37" s="224"/>
      <c r="AH37" s="179"/>
      <c r="AI37" s="224"/>
      <c r="AJ37" s="224"/>
      <c r="AK37" s="224"/>
      <c r="AL37" s="224"/>
      <c r="AM37" s="223"/>
      <c r="AN37" s="223"/>
      <c r="AO37" s="122"/>
      <c r="AP37" s="124"/>
    </row>
    <row r="38" spans="2:42" x14ac:dyDescent="0.2">
      <c r="B38" s="13">
        <v>6800</v>
      </c>
      <c r="C38" s="13" t="s">
        <v>43</v>
      </c>
      <c r="D38" s="221"/>
      <c r="E38" s="220">
        <v>202</v>
      </c>
      <c r="F38" s="221"/>
      <c r="G38" s="221"/>
      <c r="H38" s="221"/>
      <c r="I38" s="221">
        <f t="shared" si="14"/>
        <v>0</v>
      </c>
      <c r="J38" s="220">
        <v>0</v>
      </c>
      <c r="K38" s="220">
        <f t="shared" si="9"/>
        <v>0</v>
      </c>
      <c r="L38" s="220">
        <v>1000</v>
      </c>
      <c r="M38" s="220">
        <f t="shared" si="10"/>
        <v>1000</v>
      </c>
      <c r="N38" s="220">
        <f t="shared" si="11"/>
        <v>0</v>
      </c>
      <c r="O38" s="220">
        <f t="shared" si="12"/>
        <v>0</v>
      </c>
      <c r="P38" s="136">
        <f t="shared" si="13"/>
        <v>0</v>
      </c>
      <c r="Q38" s="133"/>
      <c r="R38" s="223">
        <v>1000</v>
      </c>
      <c r="S38" s="223"/>
      <c r="T38" s="223"/>
      <c r="U38" s="223"/>
      <c r="V38" s="195"/>
      <c r="W38" s="122"/>
      <c r="X38" s="122"/>
      <c r="Y38" s="122"/>
      <c r="Z38" s="122"/>
      <c r="AA38" s="223"/>
      <c r="AB38" s="223"/>
      <c r="AC38" s="122"/>
      <c r="AD38" s="223"/>
      <c r="AE38" s="223"/>
      <c r="AF38" s="224"/>
      <c r="AG38" s="224"/>
      <c r="AH38" s="179"/>
      <c r="AI38" s="224"/>
      <c r="AJ38" s="224"/>
      <c r="AK38" s="224"/>
      <c r="AL38" s="224"/>
      <c r="AM38" s="223"/>
      <c r="AN38" s="223"/>
      <c r="AO38" s="122"/>
      <c r="AP38" s="124"/>
    </row>
    <row r="39" spans="2:42" x14ac:dyDescent="0.2">
      <c r="B39" s="13">
        <v>6840</v>
      </c>
      <c r="C39" s="13" t="s">
        <v>26</v>
      </c>
      <c r="D39" s="221"/>
      <c r="E39" s="220">
        <v>0</v>
      </c>
      <c r="F39" s="221"/>
      <c r="G39" s="221"/>
      <c r="H39" s="221"/>
      <c r="I39" s="221">
        <f t="shared" si="14"/>
        <v>0</v>
      </c>
      <c r="J39" s="220">
        <v>0</v>
      </c>
      <c r="K39" s="220">
        <f t="shared" si="9"/>
        <v>0</v>
      </c>
      <c r="L39" s="220"/>
      <c r="M39" s="220">
        <f t="shared" si="10"/>
        <v>0</v>
      </c>
      <c r="N39" s="220">
        <f t="shared" si="11"/>
        <v>0</v>
      </c>
      <c r="O39" s="220">
        <f t="shared" si="12"/>
        <v>0</v>
      </c>
      <c r="P39" s="136">
        <f t="shared" si="13"/>
        <v>0</v>
      </c>
      <c r="Q39" s="133"/>
      <c r="R39" s="223"/>
      <c r="S39" s="223"/>
      <c r="T39" s="223"/>
      <c r="U39" s="223"/>
      <c r="V39" s="195"/>
      <c r="W39" s="122"/>
      <c r="X39" s="122"/>
      <c r="Y39" s="122"/>
      <c r="Z39" s="122"/>
      <c r="AA39" s="223"/>
      <c r="AB39" s="223"/>
      <c r="AC39" s="122"/>
      <c r="AD39" s="223"/>
      <c r="AE39" s="223"/>
      <c r="AF39" s="224"/>
      <c r="AG39" s="224"/>
      <c r="AH39" s="179"/>
      <c r="AI39" s="224"/>
      <c r="AJ39" s="224"/>
      <c r="AK39" s="224"/>
      <c r="AL39" s="224"/>
      <c r="AM39" s="223"/>
      <c r="AN39" s="223"/>
      <c r="AO39" s="122"/>
      <c r="AP39" s="124"/>
    </row>
    <row r="40" spans="2:42" x14ac:dyDescent="0.2">
      <c r="B40" s="13">
        <v>6860</v>
      </c>
      <c r="C40" s="13" t="s">
        <v>27</v>
      </c>
      <c r="D40" s="221">
        <f>5031.76+2905</f>
        <v>7936.76</v>
      </c>
      <c r="E40" s="220">
        <v>5282</v>
      </c>
      <c r="F40" s="221">
        <v>2905</v>
      </c>
      <c r="G40" s="221"/>
      <c r="H40" s="221">
        <v>5031.76</v>
      </c>
      <c r="I40" s="221">
        <f t="shared" si="14"/>
        <v>7936.76</v>
      </c>
      <c r="J40" s="220">
        <v>0</v>
      </c>
      <c r="K40" s="220">
        <f t="shared" si="9"/>
        <v>3825.47</v>
      </c>
      <c r="L40" s="220">
        <v>6000</v>
      </c>
      <c r="M40" s="220">
        <f t="shared" si="10"/>
        <v>14500</v>
      </c>
      <c r="N40" s="220">
        <f t="shared" si="11"/>
        <v>12500</v>
      </c>
      <c r="O40" s="220">
        <f t="shared" si="12"/>
        <v>1419.5</v>
      </c>
      <c r="P40" s="136">
        <f t="shared" si="13"/>
        <v>1000</v>
      </c>
      <c r="Q40" s="133"/>
      <c r="R40" s="223">
        <v>5000</v>
      </c>
      <c r="S40" s="223">
        <v>2265.4699999999998</v>
      </c>
      <c r="T40" s="223">
        <v>3000</v>
      </c>
      <c r="U40" s="226">
        <v>1419.5</v>
      </c>
      <c r="V40" s="195"/>
      <c r="W40" s="122"/>
      <c r="X40" s="122">
        <v>1560</v>
      </c>
      <c r="Y40" s="122"/>
      <c r="Z40" s="122">
        <v>8500</v>
      </c>
      <c r="AA40" s="223">
        <v>8500</v>
      </c>
      <c r="AB40" s="223"/>
      <c r="AC40" s="122"/>
      <c r="AD40" s="223">
        <v>1000</v>
      </c>
      <c r="AE40" s="223"/>
      <c r="AF40" s="224">
        <v>1000</v>
      </c>
      <c r="AG40" s="224"/>
      <c r="AH40" s="179">
        <v>1000</v>
      </c>
      <c r="AI40" s="224"/>
      <c r="AJ40" s="224"/>
      <c r="AK40" s="224"/>
      <c r="AL40" s="224"/>
      <c r="AM40" s="223"/>
      <c r="AN40" s="223"/>
      <c r="AO40" s="122"/>
      <c r="AP40" s="124"/>
    </row>
    <row r="41" spans="2:42" x14ac:dyDescent="0.2">
      <c r="B41" s="13">
        <v>6900</v>
      </c>
      <c r="C41" s="134" t="s">
        <v>44</v>
      </c>
      <c r="D41" s="221"/>
      <c r="E41" s="220">
        <v>0</v>
      </c>
      <c r="F41" s="221"/>
      <c r="G41" s="221"/>
      <c r="H41" s="221"/>
      <c r="I41" s="221">
        <f t="shared" si="14"/>
        <v>0</v>
      </c>
      <c r="J41" s="220">
        <v>0</v>
      </c>
      <c r="K41" s="220">
        <f t="shared" si="9"/>
        <v>0</v>
      </c>
      <c r="L41" s="220"/>
      <c r="M41" s="220">
        <f t="shared" si="10"/>
        <v>0</v>
      </c>
      <c r="N41" s="220">
        <f t="shared" si="11"/>
        <v>0</v>
      </c>
      <c r="O41" s="220">
        <f t="shared" si="12"/>
        <v>0</v>
      </c>
      <c r="P41" s="136">
        <f t="shared" si="13"/>
        <v>0</v>
      </c>
      <c r="Q41" s="133"/>
      <c r="R41" s="223"/>
      <c r="S41" s="223"/>
      <c r="T41" s="223"/>
      <c r="U41" s="223"/>
      <c r="V41" s="195"/>
      <c r="W41" s="122"/>
      <c r="X41" s="122"/>
      <c r="Y41" s="122"/>
      <c r="Z41" s="122"/>
      <c r="AA41" s="223"/>
      <c r="AB41" s="223"/>
      <c r="AC41" s="122"/>
      <c r="AD41" s="223"/>
      <c r="AE41" s="223"/>
      <c r="AF41" s="224"/>
      <c r="AG41" s="224"/>
      <c r="AH41" s="179"/>
      <c r="AI41" s="224"/>
      <c r="AJ41" s="224"/>
      <c r="AK41" s="224"/>
      <c r="AL41" s="224"/>
      <c r="AM41" s="223"/>
      <c r="AN41" s="223"/>
      <c r="AO41" s="122"/>
      <c r="AP41" s="124"/>
    </row>
    <row r="42" spans="2:42" x14ac:dyDescent="0.2">
      <c r="B42" s="13">
        <v>6940</v>
      </c>
      <c r="C42" s="13" t="s">
        <v>29</v>
      </c>
      <c r="D42" s="221"/>
      <c r="E42" s="220">
        <v>0</v>
      </c>
      <c r="F42" s="221"/>
      <c r="G42" s="221"/>
      <c r="H42" s="221"/>
      <c r="I42" s="221">
        <f t="shared" si="14"/>
        <v>0</v>
      </c>
      <c r="J42" s="220">
        <v>0</v>
      </c>
      <c r="K42" s="220">
        <f t="shared" si="9"/>
        <v>0</v>
      </c>
      <c r="L42" s="220"/>
      <c r="M42" s="220">
        <f t="shared" si="10"/>
        <v>0</v>
      </c>
      <c r="N42" s="220">
        <f t="shared" si="11"/>
        <v>0</v>
      </c>
      <c r="O42" s="220">
        <f t="shared" si="12"/>
        <v>0</v>
      </c>
      <c r="P42" s="136">
        <f t="shared" si="13"/>
        <v>0</v>
      </c>
      <c r="Q42" s="133"/>
      <c r="R42" s="223"/>
      <c r="S42" s="223"/>
      <c r="T42" s="223"/>
      <c r="U42" s="223"/>
      <c r="V42" s="195"/>
      <c r="W42" s="122"/>
      <c r="X42" s="122"/>
      <c r="Y42" s="122"/>
      <c r="Z42" s="122"/>
      <c r="AA42" s="223"/>
      <c r="AB42" s="223"/>
      <c r="AC42" s="122"/>
      <c r="AD42" s="223"/>
      <c r="AE42" s="223"/>
      <c r="AF42" s="224"/>
      <c r="AG42" s="224"/>
      <c r="AH42" s="179"/>
      <c r="AI42" s="224"/>
      <c r="AJ42" s="224"/>
      <c r="AK42" s="224"/>
      <c r="AL42" s="224"/>
      <c r="AM42" s="223"/>
      <c r="AN42" s="223"/>
      <c r="AO42" s="122"/>
      <c r="AP42" s="124"/>
    </row>
    <row r="43" spans="2:42" x14ac:dyDescent="0.2">
      <c r="B43" s="13">
        <v>7000</v>
      </c>
      <c r="C43" s="13" t="s">
        <v>48</v>
      </c>
      <c r="D43" s="221"/>
      <c r="E43" s="220">
        <v>0</v>
      </c>
      <c r="F43" s="221"/>
      <c r="G43" s="221"/>
      <c r="H43" s="221"/>
      <c r="I43" s="221">
        <f t="shared" si="14"/>
        <v>0</v>
      </c>
      <c r="J43" s="220">
        <v>0</v>
      </c>
      <c r="K43" s="220">
        <f t="shared" si="9"/>
        <v>0</v>
      </c>
      <c r="L43" s="220"/>
      <c r="M43" s="220">
        <f t="shared" si="10"/>
        <v>0</v>
      </c>
      <c r="N43" s="220">
        <f t="shared" si="11"/>
        <v>0</v>
      </c>
      <c r="O43" s="220">
        <f t="shared" si="12"/>
        <v>0</v>
      </c>
      <c r="P43" s="136">
        <f t="shared" si="13"/>
        <v>0</v>
      </c>
      <c r="Q43" s="133"/>
      <c r="R43" s="223"/>
      <c r="S43" s="223"/>
      <c r="T43" s="223"/>
      <c r="U43" s="223"/>
      <c r="V43" s="195"/>
      <c r="W43" s="122"/>
      <c r="X43" s="122"/>
      <c r="Y43" s="122"/>
      <c r="Z43" s="122"/>
      <c r="AA43" s="223"/>
      <c r="AB43" s="223"/>
      <c r="AC43" s="122"/>
      <c r="AD43" s="223"/>
      <c r="AE43" s="223"/>
      <c r="AF43" s="224"/>
      <c r="AG43" s="224"/>
      <c r="AH43" s="179"/>
      <c r="AI43" s="224"/>
      <c r="AJ43" s="224"/>
      <c r="AK43" s="224"/>
      <c r="AL43" s="224"/>
      <c r="AM43" s="223"/>
      <c r="AN43" s="223"/>
      <c r="AO43" s="122"/>
      <c r="AP43" s="124"/>
    </row>
    <row r="44" spans="2:42" x14ac:dyDescent="0.2">
      <c r="B44" s="13">
        <v>7140</v>
      </c>
      <c r="C44" s="13" t="s">
        <v>45</v>
      </c>
      <c r="D44" s="221">
        <v>5000</v>
      </c>
      <c r="E44" s="220">
        <v>39441</v>
      </c>
      <c r="F44" s="221">
        <v>5000</v>
      </c>
      <c r="G44" s="221"/>
      <c r="H44" s="221"/>
      <c r="I44" s="221">
        <f t="shared" si="14"/>
        <v>5000</v>
      </c>
      <c r="J44" s="220">
        <v>73038</v>
      </c>
      <c r="K44" s="220">
        <f t="shared" si="9"/>
        <v>5000</v>
      </c>
      <c r="L44" s="220">
        <v>65000</v>
      </c>
      <c r="M44" s="220">
        <f t="shared" si="10"/>
        <v>30000</v>
      </c>
      <c r="N44" s="220">
        <f t="shared" si="11"/>
        <v>20000</v>
      </c>
      <c r="O44" s="220">
        <f t="shared" si="12"/>
        <v>53159.8</v>
      </c>
      <c r="P44" s="136">
        <f t="shared" si="13"/>
        <v>55000</v>
      </c>
      <c r="Q44" s="133"/>
      <c r="R44" s="223"/>
      <c r="S44" s="223"/>
      <c r="T44" s="223"/>
      <c r="U44" s="226">
        <v>9437</v>
      </c>
      <c r="V44" s="195">
        <v>5000</v>
      </c>
      <c r="W44" s="122"/>
      <c r="X44" s="122"/>
      <c r="Y44" s="122"/>
      <c r="Z44" s="122"/>
      <c r="AA44" s="223"/>
      <c r="AB44" s="226">
        <v>7427</v>
      </c>
      <c r="AC44" s="122">
        <v>5000</v>
      </c>
      <c r="AD44" s="223">
        <v>15000</v>
      </c>
      <c r="AE44" s="223">
        <v>5000</v>
      </c>
      <c r="AF44" s="224">
        <v>20000</v>
      </c>
      <c r="AG44" s="226">
        <v>35305.800000000003</v>
      </c>
      <c r="AH44" s="179">
        <v>25000</v>
      </c>
      <c r="AI44" s="224">
        <v>25000</v>
      </c>
      <c r="AJ44" s="224">
        <v>25000</v>
      </c>
      <c r="AK44" s="224"/>
      <c r="AL44" s="224">
        <v>15000</v>
      </c>
      <c r="AM44" s="223"/>
      <c r="AN44" s="226">
        <v>990</v>
      </c>
      <c r="AO44" s="122">
        <v>20000</v>
      </c>
      <c r="AP44" s="124"/>
    </row>
    <row r="45" spans="2:42" x14ac:dyDescent="0.2">
      <c r="B45" s="13">
        <v>7320</v>
      </c>
      <c r="C45" s="134" t="s">
        <v>30</v>
      </c>
      <c r="D45" s="221"/>
      <c r="E45" s="220">
        <v>0</v>
      </c>
      <c r="F45" s="221"/>
      <c r="G45" s="221"/>
      <c r="H45" s="221"/>
      <c r="I45" s="221">
        <f t="shared" si="14"/>
        <v>0</v>
      </c>
      <c r="J45" s="220">
        <v>0</v>
      </c>
      <c r="K45" s="220">
        <f t="shared" si="9"/>
        <v>0</v>
      </c>
      <c r="L45" s="220"/>
      <c r="M45" s="220">
        <f t="shared" si="10"/>
        <v>0</v>
      </c>
      <c r="N45" s="220">
        <f t="shared" si="11"/>
        <v>0</v>
      </c>
      <c r="O45" s="220">
        <f t="shared" si="12"/>
        <v>0</v>
      </c>
      <c r="P45" s="136">
        <f t="shared" si="13"/>
        <v>0</v>
      </c>
      <c r="Q45" s="133"/>
      <c r="R45" s="223"/>
      <c r="S45" s="223"/>
      <c r="T45" s="223"/>
      <c r="U45" s="223"/>
      <c r="V45" s="195"/>
      <c r="W45" s="122"/>
      <c r="X45" s="122"/>
      <c r="Y45" s="122"/>
      <c r="Z45" s="122"/>
      <c r="AA45" s="223"/>
      <c r="AB45" s="223"/>
      <c r="AC45" s="122"/>
      <c r="AD45" s="223"/>
      <c r="AE45" s="223"/>
      <c r="AF45" s="224"/>
      <c r="AG45" s="224"/>
      <c r="AH45" s="179"/>
      <c r="AI45" s="224"/>
      <c r="AJ45" s="224"/>
      <c r="AK45" s="224"/>
      <c r="AL45" s="224"/>
      <c r="AM45" s="223"/>
      <c r="AN45" s="223"/>
      <c r="AO45" s="122"/>
      <c r="AP45" s="124"/>
    </row>
    <row r="46" spans="2:42" x14ac:dyDescent="0.2">
      <c r="B46" s="13">
        <v>7400</v>
      </c>
      <c r="C46" s="13" t="s">
        <v>31</v>
      </c>
      <c r="D46" s="221">
        <v>16850</v>
      </c>
      <c r="E46" s="220">
        <v>18500</v>
      </c>
      <c r="F46" s="221"/>
      <c r="G46" s="221"/>
      <c r="H46" s="221">
        <v>16850</v>
      </c>
      <c r="I46" s="221">
        <f t="shared" si="14"/>
        <v>16850</v>
      </c>
      <c r="J46" s="220">
        <v>48515</v>
      </c>
      <c r="K46" s="220">
        <f t="shared" si="9"/>
        <v>40850</v>
      </c>
      <c r="L46" s="220">
        <v>51000</v>
      </c>
      <c r="M46" s="220">
        <f t="shared" si="10"/>
        <v>54199</v>
      </c>
      <c r="N46" s="220">
        <f t="shared" si="11"/>
        <v>42600</v>
      </c>
      <c r="O46" s="220">
        <f t="shared" si="12"/>
        <v>44700</v>
      </c>
      <c r="P46" s="136">
        <f t="shared" si="13"/>
        <v>45000</v>
      </c>
      <c r="Q46" s="133"/>
      <c r="R46" s="223">
        <v>18000</v>
      </c>
      <c r="S46" s="223">
        <v>8550</v>
      </c>
      <c r="T46" s="223">
        <v>8500</v>
      </c>
      <c r="U46" s="223"/>
      <c r="V46" s="195"/>
      <c r="W46" s="122"/>
      <c r="X46" s="122">
        <v>1750</v>
      </c>
      <c r="Y46" s="122">
        <v>1399</v>
      </c>
      <c r="Z46" s="122">
        <v>1399</v>
      </c>
      <c r="AA46" s="223">
        <v>1500</v>
      </c>
      <c r="AB46" s="223"/>
      <c r="AC46" s="122"/>
      <c r="AD46" s="223">
        <v>10000</v>
      </c>
      <c r="AE46" s="223">
        <v>13951</v>
      </c>
      <c r="AF46" s="224">
        <v>16000</v>
      </c>
      <c r="AG46" s="224">
        <v>24800</v>
      </c>
      <c r="AH46" s="179">
        <v>25000</v>
      </c>
      <c r="AI46" s="224">
        <f>17000+12000</f>
        <v>29000</v>
      </c>
      <c r="AJ46" s="224">
        <v>21300</v>
      </c>
      <c r="AK46" s="224">
        <v>15200</v>
      </c>
      <c r="AL46" s="224">
        <f>13000+10000+1800</f>
        <v>24800</v>
      </c>
      <c r="AM46" s="223">
        <f>16000+600</f>
        <v>16600</v>
      </c>
      <c r="AN46" s="223">
        <v>19900</v>
      </c>
      <c r="AO46" s="122">
        <v>20000</v>
      </c>
      <c r="AP46" s="124"/>
    </row>
    <row r="47" spans="2:42" x14ac:dyDescent="0.2">
      <c r="B47" s="13">
        <v>7420</v>
      </c>
      <c r="C47" s="13" t="s">
        <v>12</v>
      </c>
      <c r="D47" s="221"/>
      <c r="E47" s="220">
        <v>5400</v>
      </c>
      <c r="F47" s="221"/>
      <c r="G47" s="221"/>
      <c r="H47" s="221"/>
      <c r="I47" s="221">
        <f t="shared" si="14"/>
        <v>0</v>
      </c>
      <c r="J47" s="220">
        <v>2130</v>
      </c>
      <c r="K47" s="220">
        <f t="shared" si="9"/>
        <v>13999</v>
      </c>
      <c r="L47" s="220">
        <v>6000</v>
      </c>
      <c r="M47" s="220">
        <f t="shared" si="10"/>
        <v>6000</v>
      </c>
      <c r="N47" s="220">
        <f t="shared" si="11"/>
        <v>7000</v>
      </c>
      <c r="O47" s="220">
        <f t="shared" si="12"/>
        <v>11025</v>
      </c>
      <c r="P47" s="136">
        <f t="shared" si="13"/>
        <v>8000</v>
      </c>
      <c r="Q47" s="133"/>
      <c r="R47" s="223">
        <v>5000</v>
      </c>
      <c r="S47" s="223">
        <v>13999</v>
      </c>
      <c r="T47" s="223">
        <v>6000</v>
      </c>
      <c r="U47" s="226">
        <v>6298</v>
      </c>
      <c r="V47" s="195">
        <v>5000</v>
      </c>
      <c r="W47" s="122"/>
      <c r="X47" s="122"/>
      <c r="Y47" s="122"/>
      <c r="Z47" s="122"/>
      <c r="AA47" s="223"/>
      <c r="AB47" s="226">
        <v>1000</v>
      </c>
      <c r="AC47" s="122">
        <v>2000</v>
      </c>
      <c r="AD47" s="223">
        <v>1000</v>
      </c>
      <c r="AE47" s="223"/>
      <c r="AF47" s="224">
        <v>1000</v>
      </c>
      <c r="AG47" s="226">
        <v>2010</v>
      </c>
      <c r="AH47" s="179"/>
      <c r="AI47" s="224"/>
      <c r="AJ47" s="224"/>
      <c r="AK47" s="224"/>
      <c r="AL47" s="224"/>
      <c r="AM47" s="223"/>
      <c r="AN47" s="223">
        <v>1717</v>
      </c>
      <c r="AO47" s="122">
        <v>1000</v>
      </c>
      <c r="AP47" s="124"/>
    </row>
    <row r="48" spans="2:42" x14ac:dyDescent="0.2">
      <c r="B48" s="13">
        <v>7500</v>
      </c>
      <c r="C48" s="13" t="s">
        <v>21</v>
      </c>
      <c r="D48" s="221"/>
      <c r="E48" s="220">
        <v>0</v>
      </c>
      <c r="F48" s="221"/>
      <c r="G48" s="221"/>
      <c r="H48" s="221"/>
      <c r="I48" s="221">
        <f t="shared" si="14"/>
        <v>0</v>
      </c>
      <c r="J48" s="220">
        <v>0</v>
      </c>
      <c r="K48" s="220">
        <f t="shared" si="9"/>
        <v>11100</v>
      </c>
      <c r="L48" s="220"/>
      <c r="M48" s="220">
        <f t="shared" si="10"/>
        <v>11000</v>
      </c>
      <c r="N48" s="220">
        <f t="shared" si="11"/>
        <v>10500</v>
      </c>
      <c r="O48" s="220">
        <f t="shared" si="12"/>
        <v>0</v>
      </c>
      <c r="P48" s="136">
        <f t="shared" si="13"/>
        <v>0</v>
      </c>
      <c r="Q48" s="133"/>
      <c r="R48" s="223"/>
      <c r="S48" s="223">
        <v>500</v>
      </c>
      <c r="T48" s="223">
        <v>500</v>
      </c>
      <c r="U48" s="223"/>
      <c r="V48" s="195"/>
      <c r="W48" s="122"/>
      <c r="X48" s="122"/>
      <c r="Y48" s="122"/>
      <c r="Z48" s="122"/>
      <c r="AA48" s="223"/>
      <c r="AB48" s="223"/>
      <c r="AC48" s="122"/>
      <c r="AD48" s="223">
        <v>11000</v>
      </c>
      <c r="AE48" s="223"/>
      <c r="AF48" s="224"/>
      <c r="AG48" s="224"/>
      <c r="AH48" s="179"/>
      <c r="AI48" s="224"/>
      <c r="AJ48" s="224"/>
      <c r="AK48" s="224">
        <v>10600</v>
      </c>
      <c r="AL48" s="224"/>
      <c r="AM48" s="223">
        <v>10000</v>
      </c>
      <c r="AN48" s="223"/>
      <c r="AO48" s="122"/>
      <c r="AP48" s="124"/>
    </row>
    <row r="49" spans="2:45" x14ac:dyDescent="0.2">
      <c r="B49" s="13">
        <v>7745</v>
      </c>
      <c r="C49" s="13" t="s">
        <v>90</v>
      </c>
      <c r="D49" s="221"/>
      <c r="E49" s="220">
        <v>3740</v>
      </c>
      <c r="F49" s="221"/>
      <c r="G49" s="221"/>
      <c r="H49" s="221"/>
      <c r="I49" s="221">
        <f t="shared" si="14"/>
        <v>0</v>
      </c>
      <c r="J49" s="220">
        <v>3500</v>
      </c>
      <c r="K49" s="220">
        <f t="shared" si="9"/>
        <v>3080</v>
      </c>
      <c r="L49" s="220">
        <v>34000</v>
      </c>
      <c r="M49" s="220">
        <f t="shared" si="10"/>
        <v>4000</v>
      </c>
      <c r="N49" s="220">
        <f t="shared" si="11"/>
        <v>4000</v>
      </c>
      <c r="O49" s="220">
        <f t="shared" si="12"/>
        <v>2024</v>
      </c>
      <c r="P49" s="136">
        <f t="shared" si="13"/>
        <v>2000</v>
      </c>
      <c r="Q49" s="133"/>
      <c r="R49" s="223">
        <v>2000</v>
      </c>
      <c r="S49" s="223">
        <v>3080</v>
      </c>
      <c r="T49" s="223">
        <v>2000</v>
      </c>
      <c r="U49" s="223"/>
      <c r="V49" s="195"/>
      <c r="W49" s="122"/>
      <c r="X49" s="122"/>
      <c r="Y49" s="122"/>
      <c r="Z49" s="122"/>
      <c r="AA49" s="223"/>
      <c r="AB49" s="223"/>
      <c r="AC49" s="122"/>
      <c r="AD49" s="223">
        <v>2000</v>
      </c>
      <c r="AE49" s="223"/>
      <c r="AF49" s="224">
        <v>2000</v>
      </c>
      <c r="AG49" s="224">
        <v>2024</v>
      </c>
      <c r="AH49" s="179">
        <v>2000</v>
      </c>
      <c r="AI49" s="224"/>
      <c r="AJ49" s="224"/>
      <c r="AK49" s="224"/>
      <c r="AL49" s="224"/>
      <c r="AM49" s="223"/>
      <c r="AN49" s="223"/>
      <c r="AO49" s="122"/>
      <c r="AP49" s="124"/>
    </row>
    <row r="50" spans="2:45" x14ac:dyDescent="0.2">
      <c r="B50" s="13">
        <v>7750</v>
      </c>
      <c r="C50" s="9" t="s">
        <v>110</v>
      </c>
      <c r="D50" s="221">
        <f>92854.99+30470.54+2400+62886</f>
        <v>188611.53</v>
      </c>
      <c r="E50" s="220">
        <v>271607</v>
      </c>
      <c r="F50" s="221">
        <v>30470.54</v>
      </c>
      <c r="G50" s="221">
        <v>62886</v>
      </c>
      <c r="H50" s="221">
        <f>92854.99+2400</f>
        <v>95254.99</v>
      </c>
      <c r="I50" s="221">
        <f t="shared" si="14"/>
        <v>188611.53000000003</v>
      </c>
      <c r="J50" s="220">
        <v>620583</v>
      </c>
      <c r="K50" s="220">
        <f t="shared" si="9"/>
        <v>229212.79999999999</v>
      </c>
      <c r="L50" s="220">
        <v>311000</v>
      </c>
      <c r="M50" s="220">
        <f t="shared" si="10"/>
        <v>192900</v>
      </c>
      <c r="N50" s="220">
        <f t="shared" si="11"/>
        <v>123000</v>
      </c>
      <c r="O50" s="220">
        <f t="shared" si="12"/>
        <v>128823.59</v>
      </c>
      <c r="P50" s="136">
        <f t="shared" si="13"/>
        <v>122000</v>
      </c>
      <c r="Q50" s="133"/>
      <c r="R50" s="223">
        <f>55000</f>
        <v>55000</v>
      </c>
      <c r="S50" s="223">
        <f>54075.9+1000+500+1500</f>
        <v>57075.9</v>
      </c>
      <c r="T50" s="223">
        <v>50000</v>
      </c>
      <c r="U50" s="226">
        <v>42097</v>
      </c>
      <c r="V50" s="195">
        <v>50000</v>
      </c>
      <c r="W50" s="122">
        <f>1800+32200+900</f>
        <v>34900</v>
      </c>
      <c r="X50" s="122">
        <v>57242.6</v>
      </c>
      <c r="Y50" s="122">
        <v>56057.5</v>
      </c>
      <c r="Z50" s="122">
        <v>42000</v>
      </c>
      <c r="AA50" s="223">
        <v>42000</v>
      </c>
      <c r="AB50" s="228">
        <v>64750</v>
      </c>
      <c r="AC50" s="122">
        <v>50000</v>
      </c>
      <c r="AD50" s="223">
        <v>45000</v>
      </c>
      <c r="AE50" s="223">
        <f>350+37587.8</f>
        <v>37937.800000000003</v>
      </c>
      <c r="AF50" s="224">
        <v>10000</v>
      </c>
      <c r="AG50" s="226">
        <v>7805.59</v>
      </c>
      <c r="AH50" s="179">
        <v>10000</v>
      </c>
      <c r="AI50" s="224">
        <f>10000</f>
        <v>10000</v>
      </c>
      <c r="AJ50" s="224">
        <v>16050</v>
      </c>
      <c r="AK50" s="224">
        <v>20899</v>
      </c>
      <c r="AL50" s="224">
        <f>16000</f>
        <v>16000</v>
      </c>
      <c r="AM50" s="223">
        <v>21000</v>
      </c>
      <c r="AN50" s="226">
        <v>14171</v>
      </c>
      <c r="AO50" s="122">
        <v>12000</v>
      </c>
      <c r="AP50" s="124">
        <f>5375+750</f>
        <v>6125</v>
      </c>
      <c r="AQ50" t="s">
        <v>146</v>
      </c>
      <c r="AR50" t="s">
        <v>148</v>
      </c>
      <c r="AS50" t="s">
        <v>147</v>
      </c>
    </row>
    <row r="51" spans="2:45" x14ac:dyDescent="0.2">
      <c r="B51" s="13">
        <v>7755</v>
      </c>
      <c r="C51" s="13" t="s">
        <v>33</v>
      </c>
      <c r="D51" s="221">
        <f>7321+4275</f>
        <v>11596</v>
      </c>
      <c r="E51" s="220">
        <v>46298</v>
      </c>
      <c r="F51" s="221">
        <v>4275</v>
      </c>
      <c r="G51" s="221"/>
      <c r="H51" s="221">
        <v>7321</v>
      </c>
      <c r="I51" s="221">
        <f t="shared" si="14"/>
        <v>11596</v>
      </c>
      <c r="J51" s="220">
        <v>123425</v>
      </c>
      <c r="K51" s="220">
        <f t="shared" si="9"/>
        <v>88055.6</v>
      </c>
      <c r="L51" s="220">
        <v>145000</v>
      </c>
      <c r="M51" s="220">
        <f t="shared" si="10"/>
        <v>68600</v>
      </c>
      <c r="N51" s="220">
        <f t="shared" si="11"/>
        <v>47750</v>
      </c>
      <c r="O51" s="220">
        <f t="shared" si="12"/>
        <v>80752</v>
      </c>
      <c r="P51" s="136">
        <f t="shared" si="13"/>
        <v>70000</v>
      </c>
      <c r="Q51" s="133"/>
      <c r="R51" s="223">
        <v>12000</v>
      </c>
      <c r="S51" s="223">
        <f>1296+6400</f>
        <v>7696</v>
      </c>
      <c r="T51" s="223">
        <v>5000</v>
      </c>
      <c r="U51" s="226">
        <v>16399</v>
      </c>
      <c r="V51" s="195">
        <v>15000</v>
      </c>
      <c r="W51" s="122">
        <f>12000+9000</f>
        <v>21000</v>
      </c>
      <c r="X51" s="122">
        <f>13634+29421.6</f>
        <v>43055.6</v>
      </c>
      <c r="Y51" s="122"/>
      <c r="Z51" s="122"/>
      <c r="AA51" s="223"/>
      <c r="AB51" s="223">
        <v>3333</v>
      </c>
      <c r="AC51" s="122">
        <v>15000</v>
      </c>
      <c r="AD51" s="223">
        <v>15000</v>
      </c>
      <c r="AE51" s="223">
        <v>21404</v>
      </c>
      <c r="AF51" s="224">
        <v>30000</v>
      </c>
      <c r="AG51" s="224">
        <v>39520</v>
      </c>
      <c r="AH51" s="179">
        <v>20000</v>
      </c>
      <c r="AI51" s="224">
        <v>35000</v>
      </c>
      <c r="AJ51" s="224">
        <v>37700</v>
      </c>
      <c r="AK51" s="224">
        <v>15900</v>
      </c>
      <c r="AL51" s="224">
        <f>15600+5000</f>
        <v>20600</v>
      </c>
      <c r="AM51" s="223">
        <v>12750</v>
      </c>
      <c r="AN51" s="226">
        <v>21500</v>
      </c>
      <c r="AO51" s="122">
        <v>20000</v>
      </c>
      <c r="AP51" s="124"/>
    </row>
    <row r="52" spans="2:45" x14ac:dyDescent="0.2">
      <c r="B52" s="13">
        <v>7770</v>
      </c>
      <c r="C52" s="13" t="s">
        <v>86</v>
      </c>
      <c r="D52" s="221">
        <f>54.9+30</f>
        <v>84.9</v>
      </c>
      <c r="E52" s="220">
        <v>60</v>
      </c>
      <c r="F52" s="221">
        <v>30</v>
      </c>
      <c r="G52" s="221"/>
      <c r="H52" s="221">
        <v>54.9</v>
      </c>
      <c r="I52" s="221">
        <f t="shared" si="14"/>
        <v>84.9</v>
      </c>
      <c r="J52" s="220">
        <v>90</v>
      </c>
      <c r="K52" s="220">
        <f t="shared" si="9"/>
        <v>0</v>
      </c>
      <c r="L52" s="220"/>
      <c r="M52" s="220">
        <f t="shared" si="10"/>
        <v>0</v>
      </c>
      <c r="N52" s="220">
        <f t="shared" si="11"/>
        <v>0</v>
      </c>
      <c r="O52" s="220">
        <f t="shared" si="12"/>
        <v>0</v>
      </c>
      <c r="P52" s="136">
        <f t="shared" si="13"/>
        <v>0</v>
      </c>
      <c r="Q52" s="133"/>
      <c r="R52" s="223"/>
      <c r="S52" s="223"/>
      <c r="T52" s="223"/>
      <c r="U52" s="223"/>
      <c r="V52" s="195"/>
      <c r="W52" s="122"/>
      <c r="X52" s="122"/>
      <c r="Y52" s="122"/>
      <c r="Z52" s="122"/>
      <c r="AA52" s="223"/>
      <c r="AB52" s="223"/>
      <c r="AC52" s="122"/>
      <c r="AD52" s="223"/>
      <c r="AE52" s="223"/>
      <c r="AF52" s="224"/>
      <c r="AG52" s="224"/>
      <c r="AH52" s="179"/>
      <c r="AI52" s="224"/>
      <c r="AJ52" s="224"/>
      <c r="AK52" s="224"/>
      <c r="AL52" s="224"/>
      <c r="AM52" s="223"/>
      <c r="AN52" s="223"/>
      <c r="AO52" s="122"/>
      <c r="AP52" s="124"/>
    </row>
    <row r="53" spans="2:45" x14ac:dyDescent="0.2">
      <c r="B53" s="13">
        <v>7790</v>
      </c>
      <c r="C53" s="13" t="s">
        <v>34</v>
      </c>
      <c r="D53" s="221"/>
      <c r="E53" s="220">
        <v>1800</v>
      </c>
      <c r="F53" s="221"/>
      <c r="G53" s="221"/>
      <c r="H53" s="221"/>
      <c r="I53" s="221">
        <f t="shared" si="14"/>
        <v>0</v>
      </c>
      <c r="J53" s="220">
        <v>-750</v>
      </c>
      <c r="K53" s="220">
        <f t="shared" si="9"/>
        <v>445</v>
      </c>
      <c r="L53" s="220">
        <v>0</v>
      </c>
      <c r="M53" s="220">
        <f t="shared" si="10"/>
        <v>6000</v>
      </c>
      <c r="N53" s="220">
        <f t="shared" si="11"/>
        <v>1000</v>
      </c>
      <c r="O53" s="220">
        <f t="shared" si="12"/>
        <v>2400</v>
      </c>
      <c r="P53" s="136">
        <f t="shared" si="13"/>
        <v>0</v>
      </c>
      <c r="Q53" s="133"/>
      <c r="R53" s="223">
        <v>1000</v>
      </c>
      <c r="S53" s="223"/>
      <c r="T53" s="223">
        <v>1000</v>
      </c>
      <c r="U53" s="223"/>
      <c r="V53" s="195"/>
      <c r="W53" s="122">
        <v>5000</v>
      </c>
      <c r="X53" s="122"/>
      <c r="Y53" s="122"/>
      <c r="Z53" s="122"/>
      <c r="AA53" s="223"/>
      <c r="AB53" s="223"/>
      <c r="AC53" s="122"/>
      <c r="AD53" s="223"/>
      <c r="AE53" s="223">
        <v>445</v>
      </c>
      <c r="AF53" s="224"/>
      <c r="AG53" s="224">
        <v>2400</v>
      </c>
      <c r="AH53" s="179"/>
      <c r="AI53" s="224"/>
      <c r="AJ53" s="224"/>
      <c r="AK53" s="224"/>
      <c r="AL53" s="224"/>
      <c r="AM53" s="223"/>
      <c r="AN53" s="223"/>
      <c r="AO53" s="122"/>
      <c r="AP53" s="124"/>
    </row>
    <row r="54" spans="2:45" x14ac:dyDescent="0.2">
      <c r="B54" s="13">
        <v>6010</v>
      </c>
      <c r="C54" s="134" t="s">
        <v>35</v>
      </c>
      <c r="D54" s="221"/>
      <c r="E54" s="220">
        <v>0</v>
      </c>
      <c r="F54" s="221"/>
      <c r="G54" s="221"/>
      <c r="H54" s="221"/>
      <c r="I54" s="221">
        <f t="shared" si="14"/>
        <v>0</v>
      </c>
      <c r="J54" s="220">
        <v>0</v>
      </c>
      <c r="K54" s="220">
        <f t="shared" si="9"/>
        <v>0</v>
      </c>
      <c r="L54" s="220"/>
      <c r="M54" s="220">
        <f t="shared" si="10"/>
        <v>0</v>
      </c>
      <c r="N54" s="220">
        <f t="shared" si="11"/>
        <v>0</v>
      </c>
      <c r="O54" s="220">
        <f t="shared" si="12"/>
        <v>0</v>
      </c>
      <c r="P54" s="136">
        <f t="shared" si="13"/>
        <v>0</v>
      </c>
      <c r="Q54" s="133"/>
      <c r="R54" s="223"/>
      <c r="S54" s="223"/>
      <c r="T54" s="223"/>
      <c r="U54" s="223"/>
      <c r="V54" s="195"/>
      <c r="W54" s="122"/>
      <c r="X54" s="122"/>
      <c r="Y54" s="122"/>
      <c r="Z54" s="122"/>
      <c r="AA54" s="122"/>
      <c r="AB54" s="122"/>
      <c r="AC54" s="122"/>
      <c r="AD54" s="223"/>
      <c r="AE54" s="223"/>
      <c r="AF54" s="224"/>
      <c r="AG54" s="224"/>
      <c r="AH54" s="179"/>
      <c r="AI54" s="224"/>
      <c r="AJ54" s="224"/>
      <c r="AK54" s="224"/>
      <c r="AL54" s="224"/>
      <c r="AM54" s="223"/>
      <c r="AN54" s="223"/>
      <c r="AO54" s="122"/>
      <c r="AP54" s="124"/>
    </row>
    <row r="55" spans="2:45" x14ac:dyDescent="0.2">
      <c r="B55" s="13"/>
      <c r="C55" s="26" t="s">
        <v>36</v>
      </c>
      <c r="D55" s="139">
        <f>SUM(D23:D54)</f>
        <v>298635.19</v>
      </c>
      <c r="E55" s="139">
        <f>SUM(E23:E54)</f>
        <v>555028</v>
      </c>
      <c r="F55" s="139" t="e">
        <f t="shared" ref="F55:N55" si="15">SUM(F23:F54)</f>
        <v>#REF!</v>
      </c>
      <c r="G55" s="139" t="e">
        <f t="shared" si="15"/>
        <v>#REF!</v>
      </c>
      <c r="H55" s="139" t="e">
        <f t="shared" si="15"/>
        <v>#REF!</v>
      </c>
      <c r="I55" s="139" t="e">
        <f t="shared" si="15"/>
        <v>#REF!</v>
      </c>
      <c r="J55" s="139">
        <f t="shared" si="15"/>
        <v>1015696</v>
      </c>
      <c r="K55" s="139">
        <f>SUM(K23:K54)</f>
        <v>455653.87</v>
      </c>
      <c r="L55" s="139">
        <f t="shared" si="15"/>
        <v>738000</v>
      </c>
      <c r="M55" s="139">
        <f t="shared" si="15"/>
        <v>448199</v>
      </c>
      <c r="N55" s="139">
        <f t="shared" si="15"/>
        <v>313350</v>
      </c>
      <c r="O55" s="139">
        <f>SUM(O23:O54)</f>
        <v>392253.08999999997</v>
      </c>
      <c r="P55" s="180">
        <f>SUM(P23:P54)</f>
        <v>361500</v>
      </c>
      <c r="Q55" s="139"/>
      <c r="R55" s="139">
        <f t="shared" ref="R55:AC55" si="16">SUM(R23:R54)</f>
        <v>138000</v>
      </c>
      <c r="S55" s="139">
        <f>SUM(S23:S54)</f>
        <v>104247.97</v>
      </c>
      <c r="T55" s="139">
        <f>SUM(T23:T54)</f>
        <v>110000</v>
      </c>
      <c r="U55" s="139">
        <f>SUM(U23:U54)</f>
        <v>115518.5</v>
      </c>
      <c r="V55" s="180">
        <f>SUM(V23:V54)</f>
        <v>114000</v>
      </c>
      <c r="W55" s="139">
        <f t="shared" si="16"/>
        <v>63900</v>
      </c>
      <c r="X55" s="139">
        <f t="shared" si="16"/>
        <v>105441</v>
      </c>
      <c r="Y55" s="139">
        <f t="shared" si="16"/>
        <v>82446.5</v>
      </c>
      <c r="Z55" s="139">
        <f t="shared" si="16"/>
        <v>53899</v>
      </c>
      <c r="AA55" s="139">
        <f t="shared" si="16"/>
        <v>54000</v>
      </c>
      <c r="AB55" s="139">
        <f>SUM(AB23:AB54)</f>
        <v>86506</v>
      </c>
      <c r="AC55" s="180">
        <f t="shared" si="16"/>
        <v>74000</v>
      </c>
      <c r="AD55" s="139">
        <f t="shared" ref="AD55:AO55" si="17">SUM(AD23:AD54)</f>
        <v>112000</v>
      </c>
      <c r="AE55" s="139">
        <f t="shared" si="17"/>
        <v>100119.4</v>
      </c>
      <c r="AF55" s="139">
        <f t="shared" si="17"/>
        <v>85000</v>
      </c>
      <c r="AG55" s="139">
        <f t="shared" si="17"/>
        <v>121643.39</v>
      </c>
      <c r="AH55" s="180">
        <f t="shared" si="17"/>
        <v>90500</v>
      </c>
      <c r="AI55" s="180">
        <f t="shared" si="17"/>
        <v>103000</v>
      </c>
      <c r="AJ55" s="180">
        <f t="shared" si="17"/>
        <v>101929</v>
      </c>
      <c r="AK55" s="180">
        <f t="shared" si="17"/>
        <v>63399</v>
      </c>
      <c r="AL55" s="180">
        <f t="shared" si="17"/>
        <v>80400</v>
      </c>
      <c r="AM55" s="180">
        <f t="shared" si="17"/>
        <v>64350</v>
      </c>
      <c r="AN55" s="180">
        <f t="shared" si="17"/>
        <v>68585.2</v>
      </c>
      <c r="AO55" s="180">
        <f t="shared" si="17"/>
        <v>83000</v>
      </c>
      <c r="AP55" s="202"/>
    </row>
    <row r="56" spans="2:45" x14ac:dyDescent="0.2">
      <c r="B56" s="13"/>
      <c r="C56" s="33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22"/>
      <c r="Q56" s="137"/>
      <c r="R56" s="195"/>
      <c r="S56" s="195"/>
      <c r="T56" s="195"/>
      <c r="U56" s="195"/>
      <c r="V56" s="122"/>
      <c r="W56" s="122"/>
      <c r="X56" s="122"/>
      <c r="Y56" s="122"/>
      <c r="Z56" s="122"/>
      <c r="AA56" s="122"/>
      <c r="AB56" s="226"/>
      <c r="AC56" s="122"/>
      <c r="AD56" s="122"/>
      <c r="AE56" s="122"/>
      <c r="AF56" s="179"/>
      <c r="AG56" s="179"/>
      <c r="AH56" s="122"/>
      <c r="AI56" s="179"/>
      <c r="AJ56" s="179"/>
      <c r="AK56" s="179"/>
      <c r="AL56" s="179"/>
      <c r="AM56" s="122"/>
      <c r="AN56" s="122"/>
      <c r="AO56" s="122"/>
      <c r="AP56" s="202"/>
    </row>
    <row r="57" spans="2:45" x14ac:dyDescent="0.2">
      <c r="B57" s="13"/>
      <c r="C57" s="26" t="s">
        <v>38</v>
      </c>
      <c r="D57" s="139">
        <f>(D21-D55)</f>
        <v>77096.609999999986</v>
      </c>
      <c r="E57" s="139">
        <f>(E21-E55)</f>
        <v>46047</v>
      </c>
      <c r="F57" s="139" t="e">
        <f t="shared" ref="F57:N57" si="18">(F21-F55)</f>
        <v>#REF!</v>
      </c>
      <c r="G57" s="139" t="e">
        <f t="shared" si="18"/>
        <v>#REF!</v>
      </c>
      <c r="H57" s="139" t="e">
        <f t="shared" si="18"/>
        <v>#REF!</v>
      </c>
      <c r="I57" s="139" t="e">
        <f t="shared" si="18"/>
        <v>#REF!</v>
      </c>
      <c r="J57" s="139">
        <f t="shared" si="18"/>
        <v>24696</v>
      </c>
      <c r="K57" s="139">
        <f>(K21-K55)</f>
        <v>41944.130000000005</v>
      </c>
      <c r="L57" s="139">
        <f t="shared" si="18"/>
        <v>2000</v>
      </c>
      <c r="M57" s="139">
        <f t="shared" si="18"/>
        <v>13201</v>
      </c>
      <c r="N57" s="139">
        <f t="shared" si="18"/>
        <v>25900</v>
      </c>
      <c r="O57" s="139">
        <f>(O21-O55)</f>
        <v>-21886.089999999967</v>
      </c>
      <c r="P57" s="180">
        <f>(P21-P55)</f>
        <v>-1500</v>
      </c>
      <c r="Q57" s="139"/>
      <c r="R57" s="139">
        <f t="shared" ref="R57:AN57" si="19">(R21-R55)</f>
        <v>1000</v>
      </c>
      <c r="S57" s="139">
        <f>(S21-S55)</f>
        <v>48928.03</v>
      </c>
      <c r="T57" s="139">
        <f>(T21-T55)</f>
        <v>4750</v>
      </c>
      <c r="U57" s="139">
        <f>(U21-U55)</f>
        <v>-9662.5</v>
      </c>
      <c r="V57" s="180">
        <f>(V21-V55)</f>
        <v>1000</v>
      </c>
      <c r="W57" s="139">
        <f t="shared" si="19"/>
        <v>100</v>
      </c>
      <c r="X57" s="139">
        <f t="shared" si="19"/>
        <v>-33102</v>
      </c>
      <c r="Y57" s="139">
        <f t="shared" si="19"/>
        <v>-0.5</v>
      </c>
      <c r="Z57" s="139">
        <f t="shared" si="19"/>
        <v>5601</v>
      </c>
      <c r="AA57" s="139">
        <f t="shared" si="19"/>
        <v>5500</v>
      </c>
      <c r="AB57" s="139">
        <f t="shared" si="19"/>
        <v>-7683</v>
      </c>
      <c r="AC57" s="180">
        <f>(AC21-AC55)</f>
        <v>-14000</v>
      </c>
      <c r="AD57" s="139">
        <f t="shared" si="19"/>
        <v>5000</v>
      </c>
      <c r="AE57" s="139">
        <f t="shared" si="19"/>
        <v>8792.6000000000058</v>
      </c>
      <c r="AF57" s="139">
        <f t="shared" si="19"/>
        <v>15000</v>
      </c>
      <c r="AG57" s="139">
        <f t="shared" si="19"/>
        <v>7144.6100000000006</v>
      </c>
      <c r="AH57" s="180">
        <f>(AH21-AH55)</f>
        <v>4500</v>
      </c>
      <c r="AI57" s="180">
        <f>(AI21-AI55)</f>
        <v>0</v>
      </c>
      <c r="AJ57" s="180">
        <f t="shared" si="19"/>
        <v>-11929</v>
      </c>
      <c r="AK57" s="180">
        <f t="shared" si="19"/>
        <v>17126</v>
      </c>
      <c r="AL57" s="180">
        <f t="shared" si="19"/>
        <v>1500</v>
      </c>
      <c r="AM57" s="180">
        <f t="shared" si="19"/>
        <v>650</v>
      </c>
      <c r="AN57" s="180">
        <f t="shared" si="19"/>
        <v>-11685.199999999997</v>
      </c>
      <c r="AO57" s="180">
        <f>(AO21-AO55)</f>
        <v>7000</v>
      </c>
      <c r="AP57" s="202"/>
    </row>
    <row r="58" spans="2:45" x14ac:dyDescent="0.2"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96"/>
      <c r="S58" s="196"/>
      <c r="T58" s="196"/>
      <c r="U58" s="196"/>
      <c r="V58" s="196"/>
      <c r="W58" s="135"/>
      <c r="X58" s="135"/>
      <c r="Y58" s="135"/>
      <c r="Z58" s="135"/>
      <c r="AA58" s="135"/>
      <c r="AB58" s="135"/>
      <c r="AC58" s="135"/>
      <c r="AD58" s="135"/>
      <c r="AE58" s="135"/>
      <c r="AF58" s="181"/>
      <c r="AG58" s="181"/>
      <c r="AH58" s="181"/>
      <c r="AI58" s="181"/>
      <c r="AJ58" s="181"/>
      <c r="AK58" s="181"/>
      <c r="AL58" s="181"/>
      <c r="AM58" s="135"/>
      <c r="AN58" s="135"/>
      <c r="AO58" s="135"/>
      <c r="AP58" s="203"/>
    </row>
    <row r="59" spans="2:45" x14ac:dyDescent="0.2">
      <c r="B59" s="134"/>
      <c r="C59" s="24" t="s">
        <v>49</v>
      </c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96"/>
      <c r="S59" s="196"/>
      <c r="T59" s="196"/>
      <c r="U59" s="196"/>
      <c r="V59" s="196"/>
      <c r="W59" s="135"/>
      <c r="X59" s="135"/>
      <c r="Y59" s="135"/>
      <c r="Z59" s="135"/>
      <c r="AA59" s="135"/>
      <c r="AB59" s="135"/>
      <c r="AC59" s="135"/>
      <c r="AD59" s="135"/>
      <c r="AE59" s="135"/>
      <c r="AF59" s="181"/>
      <c r="AG59" s="181"/>
      <c r="AH59" s="181"/>
      <c r="AI59" s="181"/>
      <c r="AJ59" s="181"/>
      <c r="AK59" s="181"/>
      <c r="AL59" s="181"/>
      <c r="AM59" s="135"/>
      <c r="AN59" s="135"/>
      <c r="AO59" s="135"/>
      <c r="AP59" s="204"/>
    </row>
    <row r="60" spans="2:45" x14ac:dyDescent="0.2">
      <c r="B60" s="134"/>
      <c r="C60" s="134" t="s">
        <v>50</v>
      </c>
      <c r="D60" s="135">
        <f>47.46+1.05</f>
        <v>48.51</v>
      </c>
      <c r="E60" s="135">
        <v>67</v>
      </c>
      <c r="F60" s="135"/>
      <c r="G60" s="135"/>
      <c r="H60" s="135"/>
      <c r="I60" s="135"/>
      <c r="J60" s="136">
        <v>71</v>
      </c>
      <c r="K60" s="136"/>
      <c r="L60" s="135"/>
      <c r="M60" s="135"/>
      <c r="N60" s="135"/>
      <c r="O60" s="136"/>
      <c r="P60" s="135"/>
      <c r="Q60" s="135"/>
      <c r="R60" s="196"/>
      <c r="S60" s="196"/>
      <c r="T60" s="196"/>
      <c r="U60" s="196"/>
      <c r="V60" s="196"/>
      <c r="W60" s="135"/>
      <c r="X60" s="135"/>
      <c r="Y60" s="135"/>
      <c r="Z60" s="135"/>
      <c r="AA60" s="135"/>
      <c r="AB60" s="135"/>
      <c r="AC60" s="135"/>
      <c r="AD60" s="135"/>
      <c r="AE60" s="135"/>
      <c r="AF60" s="181"/>
      <c r="AG60" s="181"/>
      <c r="AH60" s="181"/>
      <c r="AI60" s="181"/>
      <c r="AJ60" s="181"/>
      <c r="AK60" s="181"/>
      <c r="AL60" s="181"/>
      <c r="AM60" s="135"/>
      <c r="AN60" s="135"/>
      <c r="AO60" s="135"/>
      <c r="AP60" s="201"/>
    </row>
    <row r="61" spans="2:45" x14ac:dyDescent="0.2">
      <c r="B61" s="134"/>
      <c r="C61" s="134" t="s">
        <v>52</v>
      </c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96"/>
      <c r="S61" s="196"/>
      <c r="T61" s="196"/>
      <c r="U61" s="196"/>
      <c r="V61" s="196"/>
      <c r="W61" s="135"/>
      <c r="X61" s="135"/>
      <c r="Y61" s="135"/>
      <c r="Z61" s="135"/>
      <c r="AA61" s="135"/>
      <c r="AB61" s="135"/>
      <c r="AC61" s="135"/>
      <c r="AD61" s="135"/>
      <c r="AE61" s="135"/>
      <c r="AF61" s="181"/>
      <c r="AG61" s="181"/>
      <c r="AH61" s="181"/>
      <c r="AI61" s="181"/>
      <c r="AJ61" s="181"/>
      <c r="AK61" s="181"/>
      <c r="AL61" s="181"/>
      <c r="AM61" s="135"/>
      <c r="AN61" s="135"/>
      <c r="AO61" s="135"/>
      <c r="AP61" s="124"/>
    </row>
    <row r="62" spans="2:45" x14ac:dyDescent="0.2">
      <c r="B62" s="134"/>
      <c r="C62" s="34" t="s">
        <v>53</v>
      </c>
      <c r="D62" s="140">
        <f>D60-D61</f>
        <v>48.51</v>
      </c>
      <c r="E62" s="140">
        <f t="shared" ref="E62:AK62" si="20">E60-E61</f>
        <v>67</v>
      </c>
      <c r="F62" s="140">
        <f t="shared" si="20"/>
        <v>0</v>
      </c>
      <c r="G62" s="140">
        <f t="shared" si="20"/>
        <v>0</v>
      </c>
      <c r="H62" s="140">
        <f t="shared" si="20"/>
        <v>0</v>
      </c>
      <c r="I62" s="140">
        <f t="shared" si="20"/>
        <v>0</v>
      </c>
      <c r="J62" s="140">
        <f t="shared" si="20"/>
        <v>71</v>
      </c>
      <c r="K62" s="140"/>
      <c r="L62" s="140">
        <f t="shared" si="20"/>
        <v>0</v>
      </c>
      <c r="M62" s="140">
        <f t="shared" si="20"/>
        <v>0</v>
      </c>
      <c r="N62" s="140">
        <f t="shared" si="20"/>
        <v>0</v>
      </c>
      <c r="O62" s="140"/>
      <c r="P62" s="140"/>
      <c r="Q62" s="140">
        <f t="shared" si="20"/>
        <v>0</v>
      </c>
      <c r="R62" s="140"/>
      <c r="S62" s="140"/>
      <c r="T62" s="140"/>
      <c r="U62" s="140"/>
      <c r="V62" s="140"/>
      <c r="W62" s="140">
        <f t="shared" si="20"/>
        <v>0</v>
      </c>
      <c r="X62" s="140">
        <f t="shared" si="20"/>
        <v>0</v>
      </c>
      <c r="Y62" s="140">
        <f t="shared" si="20"/>
        <v>0</v>
      </c>
      <c r="Z62" s="140">
        <f t="shared" si="20"/>
        <v>0</v>
      </c>
      <c r="AA62" s="140">
        <f t="shared" si="20"/>
        <v>0</v>
      </c>
      <c r="AB62" s="140">
        <f t="shared" si="20"/>
        <v>0</v>
      </c>
      <c r="AC62" s="140"/>
      <c r="AD62" s="140">
        <f t="shared" si="20"/>
        <v>0</v>
      </c>
      <c r="AE62" s="140">
        <f t="shared" si="20"/>
        <v>0</v>
      </c>
      <c r="AF62" s="140">
        <f t="shared" si="20"/>
        <v>0</v>
      </c>
      <c r="AG62" s="140"/>
      <c r="AH62" s="140"/>
      <c r="AI62" s="140">
        <f>AI60-AI61</f>
        <v>0</v>
      </c>
      <c r="AJ62" s="199">
        <f t="shared" si="20"/>
        <v>0</v>
      </c>
      <c r="AK62" s="199">
        <f t="shared" si="20"/>
        <v>0</v>
      </c>
      <c r="AL62" s="199">
        <v>0</v>
      </c>
      <c r="AM62" s="199">
        <v>0</v>
      </c>
      <c r="AN62" s="199"/>
      <c r="AO62" s="199"/>
      <c r="AP62" s="118"/>
    </row>
    <row r="63" spans="2:45" x14ac:dyDescent="0.2">
      <c r="B63" s="134"/>
      <c r="C63" s="134"/>
      <c r="D63" s="135"/>
      <c r="E63" s="135"/>
      <c r="F63" s="135"/>
      <c r="G63" s="135"/>
      <c r="H63" s="135"/>
      <c r="I63" s="135"/>
      <c r="J63" s="135"/>
      <c r="K63" s="135"/>
      <c r="L63" s="182"/>
      <c r="M63" s="182"/>
      <c r="N63" s="182"/>
      <c r="O63" s="135"/>
      <c r="P63" s="182"/>
      <c r="Q63" s="135"/>
      <c r="R63" s="196"/>
      <c r="S63" s="196"/>
      <c r="T63" s="196"/>
      <c r="U63" s="196"/>
      <c r="V63" s="196"/>
      <c r="W63" s="135"/>
      <c r="X63" s="135"/>
      <c r="Y63" s="135"/>
      <c r="Z63" s="135"/>
      <c r="AA63" s="135"/>
      <c r="AB63" s="135"/>
      <c r="AC63" s="135"/>
      <c r="AD63" s="135"/>
      <c r="AE63" s="135"/>
      <c r="AF63" s="181"/>
      <c r="AG63" s="181"/>
      <c r="AH63" s="181"/>
      <c r="AI63" s="181"/>
      <c r="AJ63" s="181"/>
      <c r="AK63" s="181"/>
      <c r="AL63" s="181"/>
      <c r="AM63" s="135"/>
      <c r="AN63" s="135"/>
      <c r="AO63" s="135"/>
      <c r="AP63" s="204"/>
    </row>
    <row r="64" spans="2:45" x14ac:dyDescent="0.2">
      <c r="B64" s="134"/>
      <c r="C64" s="36" t="s">
        <v>37</v>
      </c>
      <c r="D64" s="141">
        <f t="shared" ref="D64:K64" si="21">D57+D62</f>
        <v>77145.119999999981</v>
      </c>
      <c r="E64" s="141">
        <f t="shared" si="21"/>
        <v>46114</v>
      </c>
      <c r="F64" s="141" t="e">
        <f t="shared" si="21"/>
        <v>#REF!</v>
      </c>
      <c r="G64" s="141" t="e">
        <f t="shared" si="21"/>
        <v>#REF!</v>
      </c>
      <c r="H64" s="141" t="e">
        <f t="shared" si="21"/>
        <v>#REF!</v>
      </c>
      <c r="I64" s="141" t="e">
        <f t="shared" si="21"/>
        <v>#REF!</v>
      </c>
      <c r="J64" s="141">
        <f t="shared" si="21"/>
        <v>24767</v>
      </c>
      <c r="K64" s="141">
        <f t="shared" si="21"/>
        <v>41944.130000000005</v>
      </c>
      <c r="L64" s="141">
        <f>L57+Q63</f>
        <v>2000</v>
      </c>
      <c r="M64" s="141">
        <f>M57+R63</f>
        <v>13201</v>
      </c>
      <c r="N64" s="141">
        <f>N57+S63</f>
        <v>25900</v>
      </c>
      <c r="O64" s="141"/>
      <c r="P64" s="141"/>
      <c r="Q64" s="141">
        <f>Q57+T63</f>
        <v>0</v>
      </c>
      <c r="R64" s="141">
        <f>R57+U63</f>
        <v>1000</v>
      </c>
      <c r="S64" s="141">
        <f>S57+W63</f>
        <v>48928.03</v>
      </c>
      <c r="T64" s="141">
        <f>T57+X63</f>
        <v>4750</v>
      </c>
      <c r="U64" s="141">
        <f>U57+Y63</f>
        <v>-9662.5</v>
      </c>
      <c r="V64" s="141"/>
      <c r="W64" s="141">
        <f>W57+AD63</f>
        <v>100</v>
      </c>
      <c r="X64" s="141">
        <f>X57+AE63</f>
        <v>-33102</v>
      </c>
      <c r="Y64" s="141">
        <f>Y57+AF63</f>
        <v>-0.5</v>
      </c>
      <c r="Z64" s="141">
        <f>Z57+AI63</f>
        <v>5601</v>
      </c>
      <c r="AA64" s="141">
        <f>AA57+AJ63</f>
        <v>5500</v>
      </c>
      <c r="AB64" s="141">
        <f>AB57+AK63</f>
        <v>-7683</v>
      </c>
      <c r="AC64" s="141"/>
      <c r="AD64" s="141">
        <f>AD57+AF63</f>
        <v>5000</v>
      </c>
      <c r="AE64" s="141">
        <f>AE57+AI63</f>
        <v>8792.6000000000058</v>
      </c>
      <c r="AF64" s="141">
        <f>AF57+AJ63</f>
        <v>15000</v>
      </c>
      <c r="AG64" s="141"/>
      <c r="AH64" s="141"/>
      <c r="AI64" s="141">
        <f>AI57+AJ63</f>
        <v>0</v>
      </c>
      <c r="AJ64" s="200">
        <f>AJ57+AP63</f>
        <v>-11929</v>
      </c>
      <c r="AK64" s="200">
        <f>AK57+AQ63</f>
        <v>17126</v>
      </c>
      <c r="AL64" s="200">
        <f>AL57+AQ63</f>
        <v>1500</v>
      </c>
      <c r="AM64" s="200">
        <f>AM57+AR63</f>
        <v>650</v>
      </c>
      <c r="AN64" s="200"/>
      <c r="AO64" s="200"/>
      <c r="AP64" s="205"/>
    </row>
    <row r="65" spans="3:41" x14ac:dyDescent="0.2">
      <c r="K65" s="4">
        <f>S64+X64+Y64+AE64+AK64</f>
        <v>41744.130000000005</v>
      </c>
      <c r="O65" s="4"/>
    </row>
    <row r="66" spans="3:41" x14ac:dyDescent="0.2">
      <c r="C66" t="s">
        <v>120</v>
      </c>
      <c r="J66" s="198" t="s">
        <v>122</v>
      </c>
      <c r="K66" s="198"/>
      <c r="L66" s="198"/>
      <c r="M66" s="198"/>
      <c r="N66" s="198"/>
      <c r="O66" s="198"/>
      <c r="P66" s="198"/>
      <c r="Q66" s="198"/>
      <c r="R66" s="198"/>
      <c r="S66" s="198">
        <f>-11378.03-8900-2750-6150-6050-3950-9750</f>
        <v>-48928.03</v>
      </c>
      <c r="T66" s="198"/>
      <c r="U66" s="198"/>
      <c r="V66" s="198"/>
      <c r="W66" s="198"/>
      <c r="X66" s="198" t="s">
        <v>167</v>
      </c>
      <c r="Y66" s="198" t="s">
        <v>168</v>
      </c>
      <c r="Z66" s="198"/>
      <c r="AA66" s="198"/>
      <c r="AB66" s="198"/>
      <c r="AC66" s="198"/>
      <c r="AD66" s="198"/>
      <c r="AE66" s="198" t="s">
        <v>166</v>
      </c>
      <c r="AF66" s="198"/>
      <c r="AG66" s="198"/>
      <c r="AH66" s="198"/>
      <c r="AI66" s="198"/>
      <c r="AJ66" s="198" t="s">
        <v>127</v>
      </c>
      <c r="AK66" s="198" t="s">
        <v>121</v>
      </c>
      <c r="AL66" s="198"/>
      <c r="AM66" s="198"/>
      <c r="AN66" s="198"/>
      <c r="AO66" s="198"/>
    </row>
    <row r="67" spans="3:41" x14ac:dyDescent="0.2">
      <c r="S67" s="4">
        <f>S64+S66</f>
        <v>0</v>
      </c>
    </row>
    <row r="68" spans="3:41" x14ac:dyDescent="0.2">
      <c r="C68" s="58" t="s">
        <v>124</v>
      </c>
    </row>
    <row r="69" spans="3:41" x14ac:dyDescent="0.2">
      <c r="C69" t="s">
        <v>127</v>
      </c>
    </row>
    <row r="70" spans="3:41" x14ac:dyDescent="0.2">
      <c r="C70" t="s">
        <v>127</v>
      </c>
    </row>
  </sheetData>
  <pageMargins left="0.7" right="0.7" top="0.75" bottom="0.75" header="0.3" footer="0.3"/>
  <pageSetup paperSize="9" scale="47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4"/>
  <sheetViews>
    <sheetView workbookViewId="0">
      <pane xSplit="2" ySplit="3" topLeftCell="H29" activePane="bottomRight" state="frozen"/>
      <selection pane="topRight" activeCell="C1" sqref="C1"/>
      <selection pane="bottomLeft" activeCell="A4" sqref="A4"/>
      <selection pane="bottomRight" activeCell="L44" sqref="L44"/>
    </sheetView>
  </sheetViews>
  <sheetFormatPr baseColWidth="10" defaultRowHeight="15" x14ac:dyDescent="0.2"/>
  <cols>
    <col min="1" max="1" width="8.1640625" customWidth="1"/>
    <col min="2" max="2" width="27" customWidth="1"/>
    <col min="3" max="3" width="8" style="142" customWidth="1"/>
    <col min="4" max="4" width="14.5" bestFit="1" customWidth="1"/>
    <col min="5" max="5" width="15.6640625" customWidth="1"/>
    <col min="6" max="6" width="15.6640625" bestFit="1" customWidth="1"/>
    <col min="7" max="7" width="13.33203125" bestFit="1" customWidth="1"/>
    <col min="8" max="8" width="15.6640625" style="142" customWidth="1"/>
    <col min="9" max="12" width="13.33203125" style="142" customWidth="1"/>
  </cols>
  <sheetData>
    <row r="1" spans="1:13" ht="23" x14ac:dyDescent="0.25">
      <c r="B1" s="1" t="s">
        <v>138</v>
      </c>
      <c r="C1" s="1"/>
      <c r="D1" s="2"/>
      <c r="E1" s="3"/>
      <c r="F1" s="3"/>
      <c r="G1" s="3"/>
      <c r="H1" s="3"/>
      <c r="I1" s="3"/>
      <c r="J1" s="3"/>
      <c r="K1" s="3"/>
      <c r="L1" s="3"/>
    </row>
    <row r="2" spans="1:13" ht="23" x14ac:dyDescent="0.25">
      <c r="B2" s="1"/>
      <c r="C2" s="1"/>
      <c r="D2" s="2"/>
      <c r="E2" s="3"/>
      <c r="F2" s="3"/>
      <c r="G2" s="3"/>
      <c r="H2" s="3"/>
      <c r="I2" s="3"/>
      <c r="J2" s="3"/>
      <c r="K2" s="3"/>
      <c r="L2" s="3"/>
    </row>
    <row r="3" spans="1:13" x14ac:dyDescent="0.2">
      <c r="A3" s="27" t="s">
        <v>0</v>
      </c>
      <c r="B3" s="26" t="s">
        <v>1</v>
      </c>
      <c r="C3" s="166" t="s">
        <v>75</v>
      </c>
      <c r="D3" s="27" t="s">
        <v>87</v>
      </c>
      <c r="E3" s="27" t="s">
        <v>109</v>
      </c>
      <c r="F3" s="27" t="s">
        <v>133</v>
      </c>
      <c r="G3" s="27" t="s">
        <v>106</v>
      </c>
      <c r="H3" s="27" t="s">
        <v>135</v>
      </c>
      <c r="I3" s="27" t="s">
        <v>125</v>
      </c>
      <c r="J3" s="27" t="s">
        <v>162</v>
      </c>
      <c r="K3" s="27" t="s">
        <v>163</v>
      </c>
      <c r="L3" s="27" t="s">
        <v>195</v>
      </c>
      <c r="M3" s="15"/>
    </row>
    <row r="4" spans="1:13" x14ac:dyDescent="0.2">
      <c r="A4" s="13">
        <v>3110</v>
      </c>
      <c r="B4" s="13" t="s">
        <v>2</v>
      </c>
      <c r="C4" s="167"/>
      <c r="D4" s="136"/>
      <c r="E4" s="119"/>
      <c r="F4" s="119"/>
      <c r="G4" s="115"/>
      <c r="H4" s="119"/>
      <c r="I4" s="119"/>
      <c r="J4" s="119"/>
      <c r="K4" s="119"/>
      <c r="L4" s="119"/>
      <c r="M4" s="17"/>
    </row>
    <row r="5" spans="1:13" x14ac:dyDescent="0.2">
      <c r="A5" s="13">
        <v>3115</v>
      </c>
      <c r="B5" s="13" t="s">
        <v>3</v>
      </c>
      <c r="C5" s="167"/>
      <c r="D5" s="136"/>
      <c r="E5" s="119"/>
      <c r="F5" s="119"/>
      <c r="G5" s="115"/>
      <c r="H5" s="119"/>
      <c r="I5" s="119"/>
      <c r="J5" s="119"/>
      <c r="K5" s="119"/>
      <c r="L5" s="119"/>
      <c r="M5" s="124"/>
    </row>
    <row r="6" spans="1:13" x14ac:dyDescent="0.2">
      <c r="A6" s="13">
        <v>3400</v>
      </c>
      <c r="B6" s="13" t="s">
        <v>4</v>
      </c>
      <c r="C6" s="167"/>
      <c r="D6" s="136"/>
      <c r="E6" s="119">
        <f>1000</f>
        <v>1000</v>
      </c>
      <c r="F6" s="119">
        <v>1000</v>
      </c>
      <c r="G6" s="115"/>
      <c r="H6" s="119"/>
      <c r="I6" s="119"/>
      <c r="J6" s="119"/>
      <c r="K6" s="119"/>
      <c r="L6" s="119"/>
      <c r="M6" s="124"/>
    </row>
    <row r="7" spans="1:13" x14ac:dyDescent="0.2">
      <c r="A7" s="13">
        <v>3440</v>
      </c>
      <c r="B7" s="13" t="s">
        <v>55</v>
      </c>
      <c r="C7" s="167"/>
      <c r="D7" s="136"/>
      <c r="E7" s="119"/>
      <c r="F7" s="119"/>
      <c r="G7" s="115"/>
      <c r="H7" s="119"/>
      <c r="I7" s="119"/>
      <c r="J7" s="119"/>
      <c r="K7" s="119"/>
      <c r="L7" s="119"/>
      <c r="M7" s="124"/>
    </row>
    <row r="8" spans="1:13" x14ac:dyDescent="0.2">
      <c r="A8" s="13">
        <v>3605</v>
      </c>
      <c r="B8" s="13" t="s">
        <v>5</v>
      </c>
      <c r="C8" s="167"/>
      <c r="D8" s="136"/>
      <c r="E8" s="114"/>
      <c r="F8" s="114"/>
      <c r="G8" s="114"/>
      <c r="H8" s="114"/>
      <c r="I8" s="114"/>
      <c r="J8" s="114"/>
      <c r="K8" s="114"/>
      <c r="L8" s="114"/>
      <c r="M8" s="124"/>
    </row>
    <row r="9" spans="1:13" x14ac:dyDescent="0.2">
      <c r="A9" s="13">
        <v>3620</v>
      </c>
      <c r="B9" s="23" t="s">
        <v>89</v>
      </c>
      <c r="C9" s="169"/>
      <c r="D9" s="136"/>
      <c r="E9" s="121"/>
      <c r="F9" s="121"/>
      <c r="G9" s="116"/>
      <c r="H9" s="121"/>
      <c r="I9" s="121"/>
      <c r="J9" s="121"/>
      <c r="K9" s="121"/>
      <c r="L9" s="121"/>
      <c r="M9" s="124"/>
    </row>
    <row r="10" spans="1:13" x14ac:dyDescent="0.2">
      <c r="A10" s="13">
        <v>3920</v>
      </c>
      <c r="B10" s="13" t="s">
        <v>6</v>
      </c>
      <c r="C10" s="167"/>
      <c r="D10" s="136"/>
      <c r="E10" s="121"/>
      <c r="F10" s="121"/>
      <c r="G10" s="116"/>
      <c r="H10" s="121"/>
      <c r="I10" s="121"/>
      <c r="J10" s="121"/>
      <c r="K10" s="226"/>
      <c r="L10" s="121"/>
      <c r="M10" s="124"/>
    </row>
    <row r="11" spans="1:13" x14ac:dyDescent="0.2">
      <c r="A11" s="13">
        <v>3925</v>
      </c>
      <c r="B11" s="13" t="s">
        <v>7</v>
      </c>
      <c r="C11" s="167"/>
      <c r="D11" s="136"/>
      <c r="E11" s="121"/>
      <c r="F11" s="121"/>
      <c r="G11" s="116"/>
      <c r="H11" s="121"/>
      <c r="I11" s="121"/>
      <c r="J11" s="121"/>
      <c r="K11" s="121"/>
      <c r="L11" s="121"/>
      <c r="M11" s="124"/>
    </row>
    <row r="12" spans="1:13" x14ac:dyDescent="0.2">
      <c r="A12" s="13">
        <v>3926</v>
      </c>
      <c r="B12" s="23" t="s">
        <v>13</v>
      </c>
      <c r="C12" s="169"/>
      <c r="D12" s="136"/>
      <c r="E12" s="121"/>
      <c r="F12" s="121"/>
      <c r="G12" s="116"/>
      <c r="H12" s="121"/>
      <c r="I12" s="121"/>
      <c r="J12" s="121"/>
      <c r="K12" s="121"/>
      <c r="L12" s="121"/>
      <c r="M12" s="124"/>
    </row>
    <row r="13" spans="1:13" x14ac:dyDescent="0.2">
      <c r="A13" s="13">
        <v>3950</v>
      </c>
      <c r="B13" s="13" t="s">
        <v>9</v>
      </c>
      <c r="C13" s="167"/>
      <c r="D13" s="136">
        <v>68970</v>
      </c>
      <c r="E13" s="121">
        <v>51861</v>
      </c>
      <c r="F13" s="121">
        <v>50163</v>
      </c>
      <c r="G13" s="116">
        <v>60000</v>
      </c>
      <c r="H13" s="121"/>
      <c r="I13" s="121">
        <v>45000</v>
      </c>
      <c r="J13" s="121"/>
      <c r="K13" s="121"/>
      <c r="L13" s="121"/>
      <c r="M13" s="124"/>
    </row>
    <row r="14" spans="1:13" x14ac:dyDescent="0.2">
      <c r="A14" s="13">
        <v>3970</v>
      </c>
      <c r="B14" s="13" t="s">
        <v>10</v>
      </c>
      <c r="C14" s="167"/>
      <c r="D14" s="136">
        <v>5000</v>
      </c>
      <c r="E14" s="119"/>
      <c r="F14" s="119"/>
      <c r="G14" s="119">
        <v>15000</v>
      </c>
      <c r="H14" s="119"/>
      <c r="I14" s="119"/>
      <c r="J14" s="119"/>
      <c r="K14" s="119"/>
      <c r="L14" s="119"/>
      <c r="M14" s="124"/>
    </row>
    <row r="15" spans="1:13" x14ac:dyDescent="0.2">
      <c r="A15" s="13">
        <v>3975</v>
      </c>
      <c r="B15" s="13" t="s">
        <v>11</v>
      </c>
      <c r="C15" s="167"/>
      <c r="D15" s="136">
        <v>600</v>
      </c>
      <c r="E15" s="119"/>
      <c r="F15" s="119">
        <v>0</v>
      </c>
      <c r="G15" s="119"/>
      <c r="H15" s="119"/>
      <c r="I15" s="119"/>
      <c r="J15" s="119"/>
      <c r="K15" s="119"/>
      <c r="L15" s="119"/>
      <c r="M15" s="124"/>
    </row>
    <row r="16" spans="1:13" x14ac:dyDescent="0.2">
      <c r="A16" s="13">
        <v>3980</v>
      </c>
      <c r="B16" s="13" t="s">
        <v>12</v>
      </c>
      <c r="C16" s="167"/>
      <c r="D16" s="136"/>
      <c r="E16" s="119"/>
      <c r="F16" s="119"/>
      <c r="G16" s="119"/>
      <c r="H16" s="119"/>
      <c r="I16" s="119"/>
      <c r="J16" s="119"/>
      <c r="K16" s="119"/>
      <c r="L16" s="119"/>
      <c r="M16" s="124"/>
    </row>
    <row r="17" spans="1:13" x14ac:dyDescent="0.2">
      <c r="A17" s="13">
        <v>3990</v>
      </c>
      <c r="B17" s="23" t="s">
        <v>8</v>
      </c>
      <c r="C17" s="169"/>
      <c r="D17" s="136"/>
      <c r="E17" s="119">
        <v>22680</v>
      </c>
      <c r="F17" s="119"/>
      <c r="G17" s="119"/>
      <c r="H17" s="119"/>
      <c r="I17" s="119"/>
      <c r="J17" s="119"/>
      <c r="K17" s="119"/>
      <c r="L17" s="119"/>
      <c r="M17" s="124"/>
    </row>
    <row r="18" spans="1:13" x14ac:dyDescent="0.2">
      <c r="A18" s="13"/>
      <c r="B18" s="30" t="s">
        <v>14</v>
      </c>
      <c r="C18" s="170"/>
      <c r="D18" s="138">
        <f t="shared" ref="D18:L18" si="0">SUM(D4:D17)</f>
        <v>74570</v>
      </c>
      <c r="E18" s="138">
        <f t="shared" si="0"/>
        <v>75541</v>
      </c>
      <c r="F18" s="138">
        <f t="shared" si="0"/>
        <v>51163</v>
      </c>
      <c r="G18" s="31">
        <f>SUM(G4:G17)</f>
        <v>75000</v>
      </c>
      <c r="H18" s="138"/>
      <c r="I18" s="138">
        <f t="shared" si="0"/>
        <v>45000</v>
      </c>
      <c r="J18" s="138"/>
      <c r="K18" s="138">
        <f t="shared" si="0"/>
        <v>0</v>
      </c>
      <c r="L18" s="138">
        <f t="shared" si="0"/>
        <v>0</v>
      </c>
      <c r="M18" s="124"/>
    </row>
    <row r="19" spans="1:13" x14ac:dyDescent="0.2">
      <c r="A19" s="13"/>
      <c r="B19" s="12" t="s">
        <v>15</v>
      </c>
      <c r="C19" s="171"/>
      <c r="D19" s="133"/>
      <c r="E19" s="121"/>
      <c r="F19" s="121"/>
      <c r="G19" s="121"/>
      <c r="H19" s="121"/>
      <c r="I19" s="121"/>
      <c r="J19" s="121"/>
      <c r="K19" s="121"/>
      <c r="L19" s="121"/>
      <c r="M19" s="124"/>
    </row>
    <row r="20" spans="1:13" x14ac:dyDescent="0.2">
      <c r="A20" s="13">
        <v>4210</v>
      </c>
      <c r="B20" s="13" t="s">
        <v>16</v>
      </c>
      <c r="C20" s="167"/>
      <c r="D20" s="133">
        <v>28382</v>
      </c>
      <c r="E20" s="121">
        <v>3042</v>
      </c>
      <c r="F20" s="121">
        <v>2061</v>
      </c>
      <c r="G20" s="121">
        <v>35000</v>
      </c>
      <c r="H20" s="121"/>
      <c r="I20" s="121">
        <v>10000</v>
      </c>
      <c r="J20" s="121"/>
      <c r="K20" s="121"/>
      <c r="L20" s="121"/>
      <c r="M20" s="124"/>
    </row>
    <row r="21" spans="1:13" x14ac:dyDescent="0.2">
      <c r="A21" s="13">
        <v>4220</v>
      </c>
      <c r="B21" s="13" t="s">
        <v>17</v>
      </c>
      <c r="C21" s="167"/>
      <c r="D21" s="133"/>
      <c r="E21" s="121"/>
      <c r="F21" s="121"/>
      <c r="G21" s="121"/>
      <c r="H21" s="121"/>
      <c r="I21" s="121"/>
      <c r="J21" s="121"/>
      <c r="K21" s="121"/>
      <c r="L21" s="121"/>
      <c r="M21" s="124"/>
    </row>
    <row r="22" spans="1:13" x14ac:dyDescent="0.2">
      <c r="A22" s="13">
        <v>4225</v>
      </c>
      <c r="B22" s="13" t="s">
        <v>19</v>
      </c>
      <c r="C22" s="167"/>
      <c r="D22" s="133"/>
      <c r="E22" s="121"/>
      <c r="F22" s="121"/>
      <c r="G22" s="121"/>
      <c r="H22" s="121"/>
      <c r="I22" s="121"/>
      <c r="J22" s="121"/>
      <c r="K22" s="121"/>
      <c r="L22" s="121"/>
      <c r="M22" s="124"/>
    </row>
    <row r="23" spans="1:13" x14ac:dyDescent="0.2">
      <c r="A23" s="13">
        <v>4300</v>
      </c>
      <c r="B23" s="13" t="s">
        <v>18</v>
      </c>
      <c r="C23" s="167"/>
      <c r="D23" s="133"/>
      <c r="E23" s="121"/>
      <c r="F23" s="121"/>
      <c r="G23" s="121"/>
      <c r="H23" s="121"/>
      <c r="I23" s="121"/>
      <c r="J23" s="121"/>
      <c r="K23" s="121"/>
      <c r="L23" s="121"/>
      <c r="M23" s="124"/>
    </row>
    <row r="24" spans="1:13" x14ac:dyDescent="0.2">
      <c r="A24" s="13">
        <v>5000</v>
      </c>
      <c r="B24" s="13" t="s">
        <v>20</v>
      </c>
      <c r="C24" s="167"/>
      <c r="D24" s="133"/>
      <c r="E24" s="121"/>
      <c r="F24" s="121"/>
      <c r="G24" s="121"/>
      <c r="H24" s="121"/>
      <c r="I24" s="121"/>
      <c r="J24" s="121"/>
      <c r="K24" s="121"/>
      <c r="L24" s="121"/>
      <c r="M24" s="124"/>
    </row>
    <row r="25" spans="1:13" x14ac:dyDescent="0.2">
      <c r="A25" s="13">
        <v>6315</v>
      </c>
      <c r="B25" s="13" t="s">
        <v>22</v>
      </c>
      <c r="C25" s="167"/>
      <c r="D25" s="133"/>
      <c r="E25" s="121"/>
      <c r="F25" s="121"/>
      <c r="G25" s="121"/>
      <c r="H25" s="121"/>
      <c r="I25" s="121"/>
      <c r="J25" s="121"/>
      <c r="K25" s="121"/>
      <c r="L25" s="121"/>
      <c r="M25" s="124"/>
    </row>
    <row r="26" spans="1:13" x14ac:dyDescent="0.2">
      <c r="A26" s="13">
        <v>6316</v>
      </c>
      <c r="B26" s="13" t="s">
        <v>39</v>
      </c>
      <c r="C26" s="167"/>
      <c r="D26" s="133"/>
      <c r="E26" s="121"/>
      <c r="F26" s="121"/>
      <c r="G26" s="121"/>
      <c r="H26" s="121"/>
      <c r="I26" s="121"/>
      <c r="J26" s="121"/>
      <c r="K26" s="121"/>
      <c r="L26" s="121"/>
      <c r="M26" s="124"/>
    </row>
    <row r="27" spans="1:13" x14ac:dyDescent="0.2">
      <c r="A27" s="13">
        <v>6320</v>
      </c>
      <c r="B27" s="13" t="s">
        <v>23</v>
      </c>
      <c r="C27" s="167"/>
      <c r="D27" s="133"/>
      <c r="E27" s="121"/>
      <c r="F27" s="121"/>
      <c r="G27" s="121"/>
      <c r="H27" s="121"/>
      <c r="I27" s="121"/>
      <c r="J27" s="121"/>
      <c r="K27" s="121"/>
      <c r="L27" s="121"/>
      <c r="M27" s="124"/>
    </row>
    <row r="28" spans="1:13" x14ac:dyDescent="0.2">
      <c r="A28" s="13">
        <v>6340</v>
      </c>
      <c r="B28" s="13" t="s">
        <v>41</v>
      </c>
      <c r="C28" s="167"/>
      <c r="D28" s="133"/>
      <c r="E28" s="121"/>
      <c r="F28" s="121"/>
      <c r="G28" s="121"/>
      <c r="H28" s="121"/>
      <c r="I28" s="121"/>
      <c r="J28" s="121"/>
      <c r="K28" s="121"/>
      <c r="L28" s="121"/>
      <c r="M28" s="124"/>
    </row>
    <row r="29" spans="1:13" x14ac:dyDescent="0.2">
      <c r="A29" s="13">
        <v>6340</v>
      </c>
      <c r="B29" s="13" t="s">
        <v>42</v>
      </c>
      <c r="C29" s="167"/>
      <c r="D29" s="133"/>
      <c r="E29" s="121"/>
      <c r="F29" s="121"/>
      <c r="G29" s="121"/>
      <c r="H29" s="121"/>
      <c r="I29" s="121"/>
      <c r="J29" s="121"/>
      <c r="K29" s="121"/>
      <c r="L29" s="121"/>
      <c r="M29" s="124"/>
    </row>
    <row r="30" spans="1:13" x14ac:dyDescent="0.2">
      <c r="A30" s="13">
        <v>6550</v>
      </c>
      <c r="B30" s="13" t="s">
        <v>40</v>
      </c>
      <c r="C30" s="167">
        <v>1</v>
      </c>
      <c r="D30" s="133"/>
      <c r="E30" s="121">
        <v>30006</v>
      </c>
      <c r="F30" s="121">
        <v>21275.5</v>
      </c>
      <c r="G30" s="121"/>
      <c r="H30" s="121"/>
      <c r="I30" s="121">
        <v>8500</v>
      </c>
      <c r="J30" s="121"/>
      <c r="K30" s="121"/>
      <c r="L30" s="121"/>
      <c r="M30" s="124"/>
    </row>
    <row r="31" spans="1:13" x14ac:dyDescent="0.2">
      <c r="A31" s="13">
        <v>6600</v>
      </c>
      <c r="B31" s="13" t="s">
        <v>24</v>
      </c>
      <c r="C31" s="167"/>
      <c r="D31" s="133"/>
      <c r="E31" s="121"/>
      <c r="F31" s="121"/>
      <c r="G31" s="121"/>
      <c r="H31" s="121"/>
      <c r="I31" s="121"/>
      <c r="J31" s="121"/>
      <c r="K31" s="121"/>
      <c r="L31" s="121"/>
      <c r="M31" s="124"/>
    </row>
    <row r="32" spans="1:13" x14ac:dyDescent="0.2">
      <c r="A32" s="13">
        <v>6620</v>
      </c>
      <c r="B32" s="13" t="s">
        <v>25</v>
      </c>
      <c r="C32" s="167"/>
      <c r="D32" s="133"/>
      <c r="E32" s="121"/>
      <c r="F32" s="121"/>
      <c r="G32" s="121"/>
      <c r="H32" s="121"/>
      <c r="I32" s="121"/>
      <c r="J32" s="121"/>
      <c r="K32" s="121"/>
      <c r="L32" s="121"/>
      <c r="M32" s="124"/>
    </row>
    <row r="33" spans="1:13" x14ac:dyDescent="0.2">
      <c r="A33" s="13">
        <v>6630</v>
      </c>
      <c r="B33" s="13" t="s">
        <v>47</v>
      </c>
      <c r="C33" s="167"/>
      <c r="D33" s="133">
        <v>8457.5</v>
      </c>
      <c r="E33" s="121"/>
      <c r="F33" s="121"/>
      <c r="G33" s="121"/>
      <c r="H33" s="121"/>
      <c r="I33" s="121"/>
      <c r="J33" s="121"/>
      <c r="K33" s="121"/>
      <c r="L33" s="121"/>
      <c r="M33" s="124"/>
    </row>
    <row r="34" spans="1:13" x14ac:dyDescent="0.2">
      <c r="A34" s="13">
        <v>6705</v>
      </c>
      <c r="B34" s="23" t="s">
        <v>28</v>
      </c>
      <c r="C34" s="169"/>
      <c r="D34" s="133"/>
      <c r="E34" s="121"/>
      <c r="F34" s="121"/>
      <c r="G34" s="121"/>
      <c r="H34" s="121"/>
      <c r="I34" s="121"/>
      <c r="J34" s="121"/>
      <c r="K34" s="121"/>
      <c r="L34" s="121"/>
      <c r="M34" s="124"/>
    </row>
    <row r="35" spans="1:13" x14ac:dyDescent="0.2">
      <c r="A35" s="13">
        <v>6800</v>
      </c>
      <c r="B35" s="13" t="s">
        <v>43</v>
      </c>
      <c r="C35" s="167"/>
      <c r="D35" s="133"/>
      <c r="E35" s="121"/>
      <c r="F35" s="121"/>
      <c r="G35" s="121"/>
      <c r="H35" s="121"/>
      <c r="I35" s="121"/>
      <c r="J35" s="121"/>
      <c r="K35" s="121"/>
      <c r="L35" s="121"/>
      <c r="M35" s="124"/>
    </row>
    <row r="36" spans="1:13" x14ac:dyDescent="0.2">
      <c r="A36" s="13">
        <v>6840</v>
      </c>
      <c r="B36" s="13" t="s">
        <v>26</v>
      </c>
      <c r="C36" s="167"/>
      <c r="D36" s="133"/>
      <c r="E36" s="121"/>
      <c r="F36" s="121"/>
      <c r="G36" s="121"/>
      <c r="H36" s="121"/>
      <c r="I36" s="121"/>
      <c r="J36" s="121"/>
      <c r="K36" s="121"/>
      <c r="L36" s="121"/>
      <c r="M36" s="124"/>
    </row>
    <row r="37" spans="1:13" x14ac:dyDescent="0.2">
      <c r="A37" s="13">
        <v>6860</v>
      </c>
      <c r="B37" s="13" t="s">
        <v>27</v>
      </c>
      <c r="C37" s="167"/>
      <c r="D37" s="133"/>
      <c r="E37" s="121"/>
      <c r="F37" s="121"/>
      <c r="G37" s="121"/>
      <c r="H37" s="121"/>
      <c r="I37" s="121"/>
      <c r="J37" s="121"/>
      <c r="K37" s="121"/>
      <c r="L37" s="121"/>
      <c r="M37" s="124"/>
    </row>
    <row r="38" spans="1:13" x14ac:dyDescent="0.2">
      <c r="A38" s="13">
        <v>6900</v>
      </c>
      <c r="B38" s="23" t="s">
        <v>44</v>
      </c>
      <c r="C38" s="169"/>
      <c r="D38" s="133"/>
      <c r="E38" s="121"/>
      <c r="F38" s="121"/>
      <c r="G38" s="121"/>
      <c r="H38" s="121"/>
      <c r="I38" s="121"/>
      <c r="J38" s="121"/>
      <c r="K38" s="121"/>
      <c r="L38" s="121"/>
      <c r="M38" s="124"/>
    </row>
    <row r="39" spans="1:13" x14ac:dyDescent="0.2">
      <c r="A39" s="13">
        <v>6940</v>
      </c>
      <c r="B39" s="13" t="s">
        <v>29</v>
      </c>
      <c r="C39" s="167"/>
      <c r="D39" s="133"/>
      <c r="E39" s="121"/>
      <c r="F39" s="121"/>
      <c r="G39" s="121"/>
      <c r="H39" s="121"/>
      <c r="I39" s="121"/>
      <c r="J39" s="121"/>
      <c r="K39" s="121"/>
      <c r="L39" s="121"/>
      <c r="M39" s="124"/>
    </row>
    <row r="40" spans="1:13" x14ac:dyDescent="0.2">
      <c r="A40" s="13">
        <v>7000</v>
      </c>
      <c r="B40" s="13" t="s">
        <v>48</v>
      </c>
      <c r="C40" s="167"/>
      <c r="D40" s="133"/>
      <c r="E40" s="121"/>
      <c r="F40" s="121"/>
      <c r="G40" s="121"/>
      <c r="H40" s="121"/>
      <c r="I40" s="121"/>
      <c r="J40" s="121"/>
      <c r="K40" s="121"/>
      <c r="L40" s="121"/>
      <c r="M40" s="124"/>
    </row>
    <row r="41" spans="1:13" x14ac:dyDescent="0.2">
      <c r="A41" s="13">
        <v>7140</v>
      </c>
      <c r="B41" s="13" t="s">
        <v>45</v>
      </c>
      <c r="C41" s="167"/>
      <c r="D41" s="133"/>
      <c r="E41" s="121"/>
      <c r="F41" s="121"/>
      <c r="G41" s="121"/>
      <c r="H41" s="121"/>
      <c r="I41" s="121"/>
      <c r="J41" s="121"/>
      <c r="K41" s="121"/>
      <c r="L41" s="121"/>
      <c r="M41" s="124"/>
    </row>
    <row r="42" spans="1:13" x14ac:dyDescent="0.2">
      <c r="A42" s="13">
        <v>7320</v>
      </c>
      <c r="B42" s="23" t="s">
        <v>30</v>
      </c>
      <c r="C42" s="169"/>
      <c r="D42" s="133"/>
      <c r="E42" s="121"/>
      <c r="F42" s="121"/>
      <c r="G42" s="121"/>
      <c r="H42" s="121"/>
      <c r="I42" s="121"/>
      <c r="J42" s="121"/>
      <c r="K42" s="121"/>
      <c r="L42" s="121"/>
      <c r="M42" s="124"/>
    </row>
    <row r="43" spans="1:13" x14ac:dyDescent="0.2">
      <c r="A43" s="13">
        <v>7400</v>
      </c>
      <c r="B43" s="13" t="s">
        <v>31</v>
      </c>
      <c r="C43" s="167"/>
      <c r="D43" s="133">
        <v>11465</v>
      </c>
      <c r="E43" s="121">
        <v>7385</v>
      </c>
      <c r="F43" s="121">
        <v>5000</v>
      </c>
      <c r="G43" s="121">
        <v>8000</v>
      </c>
      <c r="H43" s="121">
        <v>5875</v>
      </c>
      <c r="I43" s="121">
        <v>7400</v>
      </c>
      <c r="J43" s="121">
        <v>5000</v>
      </c>
      <c r="K43" s="226">
        <v>9500</v>
      </c>
      <c r="L43" s="121">
        <v>0</v>
      </c>
      <c r="M43" s="124"/>
    </row>
    <row r="44" spans="1:13" x14ac:dyDescent="0.2">
      <c r="A44" s="13">
        <v>7420</v>
      </c>
      <c r="B44" s="13" t="s">
        <v>12</v>
      </c>
      <c r="C44" s="167"/>
      <c r="D44" s="133"/>
      <c r="E44" s="121"/>
      <c r="F44" s="121"/>
      <c r="G44" s="121"/>
      <c r="H44" s="121"/>
      <c r="I44" s="121"/>
      <c r="J44" s="121"/>
      <c r="K44" s="121"/>
      <c r="L44" s="121"/>
      <c r="M44" s="124"/>
    </row>
    <row r="45" spans="1:13" x14ac:dyDescent="0.2">
      <c r="A45" s="13">
        <v>7500</v>
      </c>
      <c r="B45" s="13" t="s">
        <v>21</v>
      </c>
      <c r="C45" s="167"/>
      <c r="D45" s="133"/>
      <c r="E45" s="121"/>
      <c r="F45" s="121"/>
      <c r="G45" s="121"/>
      <c r="H45" s="121"/>
      <c r="I45" s="121"/>
      <c r="J45" s="121"/>
      <c r="K45" s="121"/>
      <c r="L45" s="121"/>
      <c r="M45" s="124"/>
    </row>
    <row r="46" spans="1:13" s="142" customFormat="1" x14ac:dyDescent="0.2">
      <c r="A46" s="13">
        <v>7745</v>
      </c>
      <c r="B46" s="13" t="s">
        <v>90</v>
      </c>
      <c r="C46" s="167"/>
      <c r="D46" s="133"/>
      <c r="E46" s="121"/>
      <c r="F46" s="121"/>
      <c r="G46" s="121"/>
      <c r="H46" s="121"/>
      <c r="I46" s="121"/>
      <c r="J46" s="121"/>
      <c r="K46" s="121"/>
      <c r="L46" s="121"/>
      <c r="M46" s="124"/>
    </row>
    <row r="47" spans="1:13" x14ac:dyDescent="0.2">
      <c r="A47" s="13">
        <v>7750</v>
      </c>
      <c r="B47" s="13" t="s">
        <v>32</v>
      </c>
      <c r="C47" s="167"/>
      <c r="D47" s="133">
        <v>16343.4</v>
      </c>
      <c r="E47" s="121">
        <v>10966</v>
      </c>
      <c r="F47" s="121">
        <v>2414.5</v>
      </c>
      <c r="G47" s="121">
        <v>10000</v>
      </c>
      <c r="H47" s="121">
        <v>4500</v>
      </c>
      <c r="I47" s="121">
        <v>10000</v>
      </c>
      <c r="J47" s="121"/>
      <c r="K47" s="121"/>
      <c r="L47" s="121"/>
      <c r="M47" s="124"/>
    </row>
    <row r="48" spans="1:13" x14ac:dyDescent="0.2">
      <c r="A48" s="13">
        <v>7755</v>
      </c>
      <c r="B48" s="13" t="s">
        <v>33</v>
      </c>
      <c r="C48" s="167"/>
      <c r="D48" s="133"/>
      <c r="E48" s="121">
        <v>0</v>
      </c>
      <c r="F48" s="121">
        <v>0</v>
      </c>
      <c r="G48" s="121"/>
      <c r="H48" s="121"/>
      <c r="I48" s="121"/>
      <c r="J48" s="121"/>
      <c r="K48" s="121"/>
      <c r="L48" s="121"/>
      <c r="M48" s="124"/>
    </row>
    <row r="49" spans="1:13" x14ac:dyDescent="0.2">
      <c r="A49" s="13">
        <v>7770</v>
      </c>
      <c r="B49" s="13" t="s">
        <v>46</v>
      </c>
      <c r="C49" s="176"/>
      <c r="D49" s="117"/>
      <c r="E49" s="121">
        <v>0</v>
      </c>
      <c r="F49" s="121">
        <v>0</v>
      </c>
      <c r="G49" s="121"/>
      <c r="H49" s="121"/>
      <c r="I49" s="121"/>
      <c r="J49" s="121"/>
      <c r="K49" s="121"/>
      <c r="L49" s="121"/>
      <c r="M49" s="124"/>
    </row>
    <row r="50" spans="1:13" x14ac:dyDescent="0.2">
      <c r="A50" s="13">
        <v>7790</v>
      </c>
      <c r="B50" s="13" t="s">
        <v>34</v>
      </c>
      <c r="C50" s="167"/>
      <c r="D50" s="133"/>
      <c r="E50" s="121">
        <v>0</v>
      </c>
      <c r="F50" s="121">
        <v>0</v>
      </c>
      <c r="G50" s="121"/>
      <c r="H50" s="121"/>
      <c r="I50" s="121"/>
      <c r="J50" s="121"/>
      <c r="K50" s="121"/>
      <c r="L50" s="121"/>
      <c r="M50" s="124"/>
    </row>
    <row r="51" spans="1:13" x14ac:dyDescent="0.2">
      <c r="A51" s="13">
        <v>6010</v>
      </c>
      <c r="B51" s="23" t="s">
        <v>35</v>
      </c>
      <c r="C51" s="169"/>
      <c r="D51" s="133"/>
      <c r="E51" s="121">
        <v>0</v>
      </c>
      <c r="F51" s="121">
        <v>0</v>
      </c>
      <c r="G51" s="121"/>
      <c r="H51" s="121"/>
      <c r="I51" s="121"/>
      <c r="J51" s="121"/>
      <c r="K51" s="121"/>
      <c r="L51" s="121"/>
      <c r="M51" s="124"/>
    </row>
    <row r="52" spans="1:13" x14ac:dyDescent="0.2">
      <c r="A52" s="13"/>
      <c r="B52" s="26" t="s">
        <v>36</v>
      </c>
      <c r="C52" s="166"/>
      <c r="D52" s="139">
        <f t="shared" ref="D52:L52" si="1">SUM(D20:D51)</f>
        <v>64647.9</v>
      </c>
      <c r="E52" s="139">
        <f t="shared" si="1"/>
        <v>51399</v>
      </c>
      <c r="F52" s="139">
        <f t="shared" si="1"/>
        <v>30751</v>
      </c>
      <c r="G52" s="32">
        <f>SUM(G20:G51)</f>
        <v>53000</v>
      </c>
      <c r="H52" s="139">
        <f t="shared" si="1"/>
        <v>10375</v>
      </c>
      <c r="I52" s="139">
        <f t="shared" si="1"/>
        <v>35900</v>
      </c>
      <c r="J52" s="139">
        <f t="shared" si="1"/>
        <v>5000</v>
      </c>
      <c r="K52" s="139">
        <f t="shared" si="1"/>
        <v>9500</v>
      </c>
      <c r="L52" s="139">
        <f t="shared" si="1"/>
        <v>0</v>
      </c>
      <c r="M52" s="124"/>
    </row>
    <row r="53" spans="1:13" x14ac:dyDescent="0.2">
      <c r="A53" s="13"/>
      <c r="B53" s="33"/>
      <c r="C53" s="172"/>
      <c r="D53" s="137"/>
      <c r="E53" s="121"/>
      <c r="F53" s="121"/>
      <c r="G53" s="121"/>
      <c r="H53" s="121"/>
      <c r="I53" s="121"/>
      <c r="J53" s="121"/>
      <c r="K53" s="121"/>
      <c r="L53" s="121"/>
      <c r="M53" s="124"/>
    </row>
    <row r="54" spans="1:13" x14ac:dyDescent="0.2">
      <c r="A54" s="13"/>
      <c r="B54" s="26" t="s">
        <v>38</v>
      </c>
      <c r="C54" s="166"/>
      <c r="D54" s="139">
        <f t="shared" ref="D54:L54" si="2">(D18-D52)</f>
        <v>9922.0999999999985</v>
      </c>
      <c r="E54" s="139">
        <f t="shared" si="2"/>
        <v>24142</v>
      </c>
      <c r="F54" s="139">
        <f t="shared" si="2"/>
        <v>20412</v>
      </c>
      <c r="G54" s="32">
        <f>(G18-G52)</f>
        <v>22000</v>
      </c>
      <c r="H54" s="139">
        <f t="shared" si="2"/>
        <v>-10375</v>
      </c>
      <c r="I54" s="139">
        <f t="shared" si="2"/>
        <v>9100</v>
      </c>
      <c r="J54" s="139">
        <f t="shared" si="2"/>
        <v>-5000</v>
      </c>
      <c r="K54" s="139">
        <f t="shared" si="2"/>
        <v>-9500</v>
      </c>
      <c r="L54" s="139">
        <f t="shared" si="2"/>
        <v>0</v>
      </c>
      <c r="M54" s="124"/>
    </row>
    <row r="55" spans="1:13" x14ac:dyDescent="0.2">
      <c r="A55" s="23"/>
      <c r="B55" s="23"/>
      <c r="C55" s="169"/>
      <c r="D55" s="134"/>
      <c r="E55" s="120"/>
      <c r="F55" s="120"/>
      <c r="G55" s="120"/>
      <c r="H55" s="120"/>
      <c r="I55" s="120"/>
      <c r="J55" s="120"/>
      <c r="K55" s="120"/>
      <c r="L55" s="120"/>
      <c r="M55" s="124"/>
    </row>
    <row r="56" spans="1:13" x14ac:dyDescent="0.2">
      <c r="A56" s="23"/>
      <c r="B56" s="24" t="s">
        <v>49</v>
      </c>
      <c r="C56" s="173"/>
      <c r="D56" s="135"/>
      <c r="E56" s="120"/>
      <c r="F56" s="120"/>
      <c r="G56" s="120"/>
      <c r="H56" s="120"/>
      <c r="I56" s="120"/>
      <c r="J56" s="120"/>
      <c r="K56" s="120"/>
      <c r="L56" s="120"/>
      <c r="M56" s="15"/>
    </row>
    <row r="57" spans="1:13" x14ac:dyDescent="0.2">
      <c r="A57" s="23"/>
      <c r="B57" s="23" t="s">
        <v>50</v>
      </c>
      <c r="C57" s="169"/>
      <c r="D57" s="135">
        <v>102.14</v>
      </c>
      <c r="E57" s="122">
        <v>117.5</v>
      </c>
      <c r="F57" s="122">
        <v>142</v>
      </c>
      <c r="G57" s="122">
        <v>0</v>
      </c>
      <c r="H57" s="122"/>
      <c r="I57" s="122">
        <v>0</v>
      </c>
      <c r="J57" s="122"/>
      <c r="K57" s="122"/>
      <c r="L57" s="122"/>
      <c r="M57" s="15"/>
    </row>
    <row r="58" spans="1:13" x14ac:dyDescent="0.2">
      <c r="A58" s="23"/>
      <c r="B58" s="23" t="s">
        <v>52</v>
      </c>
      <c r="C58" s="169"/>
      <c r="D58" s="135"/>
      <c r="E58" s="122">
        <v>0</v>
      </c>
      <c r="F58" s="122">
        <v>0</v>
      </c>
      <c r="G58" s="122">
        <v>0</v>
      </c>
      <c r="H58" s="122"/>
      <c r="I58" s="122">
        <v>0</v>
      </c>
      <c r="J58" s="122"/>
      <c r="K58" s="122"/>
      <c r="L58" s="122"/>
      <c r="M58" s="16"/>
    </row>
    <row r="59" spans="1:13" x14ac:dyDescent="0.2">
      <c r="A59" s="23"/>
      <c r="B59" s="34" t="s">
        <v>53</v>
      </c>
      <c r="C59" s="174"/>
      <c r="D59" s="140">
        <f>D57-D58</f>
        <v>102.14</v>
      </c>
      <c r="E59" s="140">
        <f>E57-E58</f>
        <v>117.5</v>
      </c>
      <c r="F59" s="140">
        <f>F57-F58</f>
        <v>142</v>
      </c>
      <c r="G59" s="123">
        <v>0</v>
      </c>
      <c r="H59" s="140">
        <f>H57-H58</f>
        <v>0</v>
      </c>
      <c r="I59" s="140">
        <v>0</v>
      </c>
      <c r="J59" s="140"/>
      <c r="K59" s="140"/>
      <c r="L59" s="140"/>
      <c r="M59" s="16"/>
    </row>
    <row r="60" spans="1:13" x14ac:dyDescent="0.2">
      <c r="A60" s="23"/>
      <c r="B60" s="23"/>
      <c r="C60" s="169"/>
      <c r="D60" s="135"/>
      <c r="E60" s="120"/>
      <c r="F60" s="120"/>
      <c r="G60" s="120"/>
      <c r="H60" s="120"/>
      <c r="I60" s="120"/>
      <c r="J60" s="120"/>
      <c r="K60" s="120"/>
      <c r="L60" s="120"/>
      <c r="M60" s="118"/>
    </row>
    <row r="61" spans="1:13" x14ac:dyDescent="0.2">
      <c r="A61" s="23"/>
      <c r="B61" s="36" t="s">
        <v>37</v>
      </c>
      <c r="C61" s="175"/>
      <c r="D61" s="141">
        <f t="shared" ref="D61:J61" si="3">D54+D59</f>
        <v>10024.239999999998</v>
      </c>
      <c r="E61" s="141">
        <f t="shared" si="3"/>
        <v>24259.5</v>
      </c>
      <c r="F61" s="141">
        <f t="shared" si="3"/>
        <v>20554</v>
      </c>
      <c r="G61" s="141">
        <f t="shared" si="3"/>
        <v>22000</v>
      </c>
      <c r="H61" s="141">
        <f t="shared" si="3"/>
        <v>-10375</v>
      </c>
      <c r="I61" s="141">
        <f t="shared" si="3"/>
        <v>9100</v>
      </c>
      <c r="J61" s="141">
        <f t="shared" si="3"/>
        <v>-5000</v>
      </c>
      <c r="K61" s="141"/>
      <c r="L61" s="141"/>
      <c r="M61" s="15"/>
    </row>
    <row r="62" spans="1:13" x14ac:dyDescent="0.2">
      <c r="M62" s="118"/>
    </row>
    <row r="63" spans="1:13" x14ac:dyDescent="0.2">
      <c r="B63" s="113" t="s">
        <v>127</v>
      </c>
      <c r="C63" s="113"/>
    </row>
    <row r="64" spans="1:13" x14ac:dyDescent="0.2">
      <c r="B64" t="s">
        <v>127</v>
      </c>
    </row>
  </sheetData>
  <pageMargins left="0.7" right="0.7" top="0.75" bottom="0.75" header="0.3" footer="0.3"/>
  <pageSetup paperSize="9" scale="6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4"/>
  <sheetViews>
    <sheetView workbookViewId="0">
      <pane xSplit="3" ySplit="3" topLeftCell="I36" activePane="bottomRight" state="frozen"/>
      <selection pane="topRight" activeCell="D1" sqref="D1"/>
      <selection pane="bottomLeft" activeCell="A4" sqref="A4"/>
      <selection pane="bottomRight" activeCell="K6" sqref="K6"/>
    </sheetView>
  </sheetViews>
  <sheetFormatPr baseColWidth="10" defaultRowHeight="15" x14ac:dyDescent="0.2"/>
  <cols>
    <col min="1" max="1" width="7.6640625" customWidth="1"/>
    <col min="2" max="2" width="31.33203125" customWidth="1"/>
    <col min="3" max="3" width="8.1640625" style="142" customWidth="1"/>
    <col min="4" max="4" width="14.5" bestFit="1" customWidth="1"/>
    <col min="5" max="5" width="15.6640625" customWidth="1"/>
    <col min="6" max="6" width="15.6640625" bestFit="1" customWidth="1"/>
    <col min="7" max="7" width="13.33203125" bestFit="1" customWidth="1"/>
    <col min="8" max="8" width="15.6640625" style="142" customWidth="1"/>
    <col min="9" max="12" width="13.33203125" style="142" customWidth="1"/>
  </cols>
  <sheetData>
    <row r="1" spans="1:12" ht="23" x14ac:dyDescent="0.25">
      <c r="B1" s="1" t="s">
        <v>139</v>
      </c>
      <c r="C1" s="1"/>
      <c r="D1" s="2"/>
      <c r="E1" s="3"/>
      <c r="F1" s="3"/>
      <c r="G1" s="3"/>
      <c r="H1" s="3"/>
      <c r="I1" s="3"/>
      <c r="J1" s="3"/>
      <c r="K1" s="3"/>
      <c r="L1" s="3"/>
    </row>
    <row r="2" spans="1:12" ht="23" x14ac:dyDescent="0.25">
      <c r="B2" s="1"/>
      <c r="C2" s="1"/>
      <c r="D2" s="2"/>
      <c r="E2" s="3"/>
      <c r="F2" s="3"/>
      <c r="G2" s="3"/>
      <c r="H2" s="3"/>
      <c r="I2" s="3"/>
      <c r="J2" s="3"/>
      <c r="K2" s="3"/>
      <c r="L2" s="3"/>
    </row>
    <row r="3" spans="1:12" x14ac:dyDescent="0.2">
      <c r="A3" s="27" t="s">
        <v>0</v>
      </c>
      <c r="B3" s="26" t="s">
        <v>1</v>
      </c>
      <c r="C3" s="166" t="s">
        <v>75</v>
      </c>
      <c r="D3" s="27" t="s">
        <v>87</v>
      </c>
      <c r="E3" s="27" t="s">
        <v>109</v>
      </c>
      <c r="F3" s="27" t="s">
        <v>133</v>
      </c>
      <c r="G3" s="27" t="s">
        <v>106</v>
      </c>
      <c r="H3" s="27" t="s">
        <v>135</v>
      </c>
      <c r="I3" s="27" t="s">
        <v>125</v>
      </c>
      <c r="J3" s="27" t="s">
        <v>155</v>
      </c>
      <c r="K3" s="27" t="s">
        <v>163</v>
      </c>
      <c r="L3" s="27" t="s">
        <v>155</v>
      </c>
    </row>
    <row r="4" spans="1:12" x14ac:dyDescent="0.2">
      <c r="A4" s="13">
        <v>3110</v>
      </c>
      <c r="B4" s="13" t="s">
        <v>2</v>
      </c>
      <c r="C4" s="167"/>
      <c r="D4" s="136"/>
      <c r="E4" s="136"/>
      <c r="F4" s="136"/>
      <c r="G4" s="28"/>
      <c r="H4" s="136"/>
      <c r="I4" s="136"/>
      <c r="J4" s="136"/>
      <c r="K4" s="136"/>
      <c r="L4" s="136"/>
    </row>
    <row r="5" spans="1:12" x14ac:dyDescent="0.2">
      <c r="A5" s="13">
        <v>3115</v>
      </c>
      <c r="B5" s="13" t="s">
        <v>3</v>
      </c>
      <c r="C5" s="167"/>
      <c r="D5" s="136"/>
      <c r="E5" s="136"/>
      <c r="F5" s="136"/>
      <c r="G5" s="28"/>
      <c r="H5" s="136"/>
      <c r="I5" s="136"/>
      <c r="J5" s="136"/>
      <c r="K5" s="136"/>
      <c r="L5" s="136"/>
    </row>
    <row r="6" spans="1:12" x14ac:dyDescent="0.2">
      <c r="A6" s="13">
        <v>3400</v>
      </c>
      <c r="B6" s="13" t="s">
        <v>4</v>
      </c>
      <c r="C6" s="167"/>
      <c r="D6" s="136"/>
      <c r="E6" s="136"/>
      <c r="F6" s="136"/>
      <c r="G6" s="28"/>
      <c r="H6" s="136"/>
      <c r="I6" s="136"/>
      <c r="J6" s="136"/>
      <c r="K6" s="136"/>
      <c r="L6" s="136"/>
    </row>
    <row r="7" spans="1:12" x14ac:dyDescent="0.2">
      <c r="A7" s="13">
        <v>3440</v>
      </c>
      <c r="B7" s="13" t="s">
        <v>55</v>
      </c>
      <c r="C7" s="167"/>
      <c r="D7" s="136"/>
      <c r="E7" s="136"/>
      <c r="F7" s="136"/>
      <c r="G7" s="28"/>
      <c r="H7" s="136"/>
      <c r="I7" s="136"/>
      <c r="J7" s="136"/>
      <c r="K7" s="136"/>
      <c r="L7" s="136"/>
    </row>
    <row r="8" spans="1:12" x14ac:dyDescent="0.2">
      <c r="A8" s="13">
        <v>3605</v>
      </c>
      <c r="B8" s="13" t="s">
        <v>5</v>
      </c>
      <c r="C8" s="167"/>
      <c r="D8" s="136"/>
      <c r="E8" s="136"/>
      <c r="F8" s="136"/>
      <c r="G8" s="28"/>
      <c r="H8" s="136"/>
      <c r="I8" s="136"/>
      <c r="J8" s="136"/>
      <c r="K8" s="136"/>
      <c r="L8" s="136"/>
    </row>
    <row r="9" spans="1:12" x14ac:dyDescent="0.2">
      <c r="A9" s="13">
        <v>3620</v>
      </c>
      <c r="B9" s="23" t="s">
        <v>89</v>
      </c>
      <c r="C9" s="169"/>
      <c r="D9" s="136"/>
      <c r="E9" s="136"/>
      <c r="F9" s="136"/>
      <c r="G9" s="28"/>
      <c r="H9" s="136"/>
      <c r="I9" s="136"/>
      <c r="J9" s="136"/>
      <c r="K9" s="136"/>
      <c r="L9" s="136"/>
    </row>
    <row r="10" spans="1:12" x14ac:dyDescent="0.2">
      <c r="A10" s="13">
        <v>3920</v>
      </c>
      <c r="B10" s="13" t="s">
        <v>6</v>
      </c>
      <c r="C10" s="167"/>
      <c r="D10" s="136"/>
      <c r="E10" s="136"/>
      <c r="F10" s="136"/>
      <c r="G10" s="28"/>
      <c r="H10" s="136"/>
      <c r="I10" s="136"/>
      <c r="J10" s="136"/>
      <c r="K10" s="136"/>
      <c r="L10" s="136"/>
    </row>
    <row r="11" spans="1:12" x14ac:dyDescent="0.2">
      <c r="A11" s="13">
        <v>3925</v>
      </c>
      <c r="B11" s="13" t="s">
        <v>7</v>
      </c>
      <c r="C11" s="167"/>
      <c r="D11" s="136"/>
      <c r="E11" s="136"/>
      <c r="F11" s="136"/>
      <c r="G11" s="28"/>
      <c r="H11" s="136"/>
      <c r="I11" s="136"/>
      <c r="J11" s="136"/>
      <c r="K11" s="136"/>
      <c r="L11" s="136"/>
    </row>
    <row r="12" spans="1:12" x14ac:dyDescent="0.2">
      <c r="A12" s="13">
        <v>3926</v>
      </c>
      <c r="B12" s="23" t="s">
        <v>13</v>
      </c>
      <c r="C12" s="169"/>
      <c r="D12" s="136"/>
      <c r="E12" s="136"/>
      <c r="F12" s="136"/>
      <c r="G12" s="28"/>
      <c r="H12" s="136"/>
      <c r="I12" s="136"/>
      <c r="J12" s="136"/>
      <c r="K12" s="136"/>
      <c r="L12" s="136"/>
    </row>
    <row r="13" spans="1:12" x14ac:dyDescent="0.2">
      <c r="A13" s="13">
        <v>3950</v>
      </c>
      <c r="B13" s="13" t="s">
        <v>9</v>
      </c>
      <c r="C13" s="167"/>
      <c r="D13" s="136">
        <v>2150</v>
      </c>
      <c r="E13" s="136"/>
      <c r="F13" s="136"/>
      <c r="G13" s="28">
        <v>2000</v>
      </c>
      <c r="H13" s="136"/>
      <c r="I13" s="136">
        <v>2000</v>
      </c>
      <c r="J13" s="136"/>
      <c r="K13" s="136"/>
      <c r="L13" s="136"/>
    </row>
    <row r="14" spans="1:12" x14ac:dyDescent="0.2">
      <c r="A14" s="13">
        <v>3970</v>
      </c>
      <c r="B14" s="13" t="s">
        <v>10</v>
      </c>
      <c r="C14" s="167"/>
      <c r="D14" s="136"/>
      <c r="E14" s="136"/>
      <c r="F14" s="136"/>
      <c r="G14" s="28"/>
      <c r="H14" s="136"/>
      <c r="I14" s="136"/>
      <c r="J14" s="136"/>
      <c r="K14" s="136"/>
      <c r="L14" s="136"/>
    </row>
    <row r="15" spans="1:12" x14ac:dyDescent="0.2">
      <c r="A15" s="13">
        <v>3975</v>
      </c>
      <c r="B15" s="13" t="s">
        <v>11</v>
      </c>
      <c r="C15" s="167"/>
      <c r="D15" s="136"/>
      <c r="E15" s="136"/>
      <c r="F15" s="136"/>
      <c r="G15" s="28"/>
      <c r="H15" s="136"/>
      <c r="I15" s="136"/>
      <c r="J15" s="136"/>
      <c r="K15" s="136"/>
      <c r="L15" s="136"/>
    </row>
    <row r="16" spans="1:12" x14ac:dyDescent="0.2">
      <c r="A16" s="13">
        <v>3980</v>
      </c>
      <c r="B16" s="13" t="s">
        <v>12</v>
      </c>
      <c r="C16" s="167"/>
      <c r="D16" s="136"/>
      <c r="E16" s="136"/>
      <c r="F16" s="136"/>
      <c r="G16" s="28"/>
      <c r="H16" s="136"/>
      <c r="I16" s="136"/>
      <c r="J16" s="136"/>
      <c r="K16" s="136"/>
      <c r="L16" s="136"/>
    </row>
    <row r="17" spans="1:12" x14ac:dyDescent="0.2">
      <c r="A17" s="13">
        <v>3990</v>
      </c>
      <c r="B17" s="23" t="s">
        <v>8</v>
      </c>
      <c r="C17" s="169"/>
      <c r="D17" s="136"/>
      <c r="E17" s="136"/>
      <c r="F17" s="136"/>
      <c r="G17" s="28"/>
      <c r="H17" s="136"/>
      <c r="I17" s="136"/>
      <c r="J17" s="136"/>
      <c r="K17" s="136"/>
      <c r="L17" s="136"/>
    </row>
    <row r="18" spans="1:12" x14ac:dyDescent="0.2">
      <c r="A18" s="13"/>
      <c r="B18" s="30" t="s">
        <v>14</v>
      </c>
      <c r="C18" s="170"/>
      <c r="D18" s="138">
        <f t="shared" ref="D18:I18" si="0">SUM(D4:D17)</f>
        <v>2150</v>
      </c>
      <c r="E18" s="138">
        <f t="shared" si="0"/>
        <v>0</v>
      </c>
      <c r="F18" s="138">
        <f t="shared" si="0"/>
        <v>0</v>
      </c>
      <c r="G18" s="31">
        <f>SUM(G4:G17)</f>
        <v>2000</v>
      </c>
      <c r="H18" s="138"/>
      <c r="I18" s="138">
        <f t="shared" si="0"/>
        <v>2000</v>
      </c>
      <c r="J18" s="138"/>
      <c r="K18" s="138"/>
      <c r="L18" s="138"/>
    </row>
    <row r="19" spans="1:12" x14ac:dyDescent="0.2">
      <c r="A19" s="13"/>
      <c r="B19" s="12" t="s">
        <v>15</v>
      </c>
      <c r="C19" s="171"/>
      <c r="D19" s="133"/>
      <c r="E19" s="22"/>
      <c r="F19" s="194"/>
      <c r="G19" s="22"/>
      <c r="H19" s="194"/>
      <c r="I19" s="133"/>
      <c r="J19" s="133"/>
      <c r="K19" s="133"/>
      <c r="L19" s="133"/>
    </row>
    <row r="20" spans="1:12" x14ac:dyDescent="0.2">
      <c r="A20" s="13">
        <v>4210</v>
      </c>
      <c r="B20" s="13" t="s">
        <v>16</v>
      </c>
      <c r="C20" s="167"/>
      <c r="D20" s="133"/>
      <c r="E20" s="194"/>
      <c r="F20" s="194"/>
      <c r="G20" s="22"/>
      <c r="H20" s="194"/>
      <c r="I20" s="133">
        <v>1000</v>
      </c>
      <c r="J20" s="133"/>
      <c r="K20" s="133"/>
      <c r="L20" s="133"/>
    </row>
    <row r="21" spans="1:12" x14ac:dyDescent="0.2">
      <c r="A21" s="13">
        <v>4220</v>
      </c>
      <c r="B21" s="13" t="s">
        <v>17</v>
      </c>
      <c r="C21" s="167"/>
      <c r="D21" s="133"/>
      <c r="E21" s="194"/>
      <c r="F21" s="194"/>
      <c r="G21" s="22"/>
      <c r="H21" s="194"/>
      <c r="I21" s="133"/>
      <c r="J21" s="133"/>
      <c r="K21" s="133"/>
      <c r="L21" s="133"/>
    </row>
    <row r="22" spans="1:12" x14ac:dyDescent="0.2">
      <c r="A22" s="13">
        <v>4225</v>
      </c>
      <c r="B22" s="13" t="s">
        <v>19</v>
      </c>
      <c r="C22" s="167"/>
      <c r="D22" s="133"/>
      <c r="E22" s="194"/>
      <c r="F22" s="194"/>
      <c r="G22" s="22"/>
      <c r="H22" s="194"/>
      <c r="I22" s="133"/>
      <c r="J22" s="133"/>
      <c r="K22" s="133"/>
      <c r="L22" s="133"/>
    </row>
    <row r="23" spans="1:12" x14ac:dyDescent="0.2">
      <c r="A23" s="13">
        <v>4300</v>
      </c>
      <c r="B23" s="13" t="s">
        <v>18</v>
      </c>
      <c r="C23" s="167"/>
      <c r="D23" s="133"/>
      <c r="E23" s="194"/>
      <c r="F23" s="194"/>
      <c r="G23" s="22"/>
      <c r="H23" s="194"/>
      <c r="I23" s="133"/>
      <c r="J23" s="133"/>
      <c r="K23" s="133"/>
      <c r="L23" s="133"/>
    </row>
    <row r="24" spans="1:12" x14ac:dyDescent="0.2">
      <c r="A24" s="13">
        <v>5000</v>
      </c>
      <c r="B24" s="13" t="s">
        <v>20</v>
      </c>
      <c r="C24" s="167"/>
      <c r="D24" s="133"/>
      <c r="E24" s="133"/>
      <c r="F24" s="133"/>
      <c r="G24" s="22"/>
      <c r="H24" s="133"/>
      <c r="I24" s="133"/>
      <c r="J24" s="133"/>
      <c r="K24" s="133"/>
      <c r="L24" s="133"/>
    </row>
    <row r="25" spans="1:12" x14ac:dyDescent="0.2">
      <c r="A25" s="13">
        <v>6315</v>
      </c>
      <c r="B25" s="13" t="s">
        <v>22</v>
      </c>
      <c r="C25" s="167"/>
      <c r="D25" s="133"/>
      <c r="E25" s="133"/>
      <c r="F25" s="133"/>
      <c r="G25" s="22"/>
      <c r="H25" s="133"/>
      <c r="I25" s="133"/>
      <c r="J25" s="133"/>
      <c r="K25" s="133"/>
      <c r="L25" s="133"/>
    </row>
    <row r="26" spans="1:12" x14ac:dyDescent="0.2">
      <c r="A26" s="13">
        <v>6316</v>
      </c>
      <c r="B26" s="13" t="s">
        <v>39</v>
      </c>
      <c r="C26" s="167"/>
      <c r="D26" s="133"/>
      <c r="E26" s="133"/>
      <c r="F26" s="133"/>
      <c r="G26" s="22"/>
      <c r="H26" s="133"/>
      <c r="I26" s="133"/>
      <c r="J26" s="133"/>
      <c r="K26" s="133"/>
      <c r="L26" s="133"/>
    </row>
    <row r="27" spans="1:12" x14ac:dyDescent="0.2">
      <c r="A27" s="13">
        <v>6320</v>
      </c>
      <c r="B27" s="13" t="s">
        <v>23</v>
      </c>
      <c r="C27" s="167"/>
      <c r="D27" s="133"/>
      <c r="E27" s="133"/>
      <c r="F27" s="133"/>
      <c r="G27" s="22"/>
      <c r="H27" s="133"/>
      <c r="I27" s="133"/>
      <c r="J27" s="133"/>
      <c r="K27" s="133"/>
      <c r="L27" s="133"/>
    </row>
    <row r="28" spans="1:12" x14ac:dyDescent="0.2">
      <c r="A28" s="13">
        <v>6340</v>
      </c>
      <c r="B28" s="13" t="s">
        <v>41</v>
      </c>
      <c r="C28" s="167"/>
      <c r="D28" s="133"/>
      <c r="E28" s="133"/>
      <c r="F28" s="133"/>
      <c r="G28" s="22"/>
      <c r="H28" s="133"/>
      <c r="I28" s="133"/>
      <c r="J28" s="133"/>
      <c r="K28" s="133"/>
      <c r="L28" s="133"/>
    </row>
    <row r="29" spans="1:12" x14ac:dyDescent="0.2">
      <c r="A29" s="13">
        <v>6340</v>
      </c>
      <c r="B29" s="13" t="s">
        <v>42</v>
      </c>
      <c r="C29" s="167"/>
      <c r="D29" s="133"/>
      <c r="E29" s="133"/>
      <c r="F29" s="133"/>
      <c r="G29" s="22"/>
      <c r="H29" s="133"/>
      <c r="I29" s="133"/>
      <c r="J29" s="133"/>
      <c r="K29" s="133"/>
      <c r="L29" s="133"/>
    </row>
    <row r="30" spans="1:12" x14ac:dyDescent="0.2">
      <c r="A30" s="13">
        <v>6550</v>
      </c>
      <c r="B30" s="13" t="s">
        <v>40</v>
      </c>
      <c r="C30" s="167"/>
      <c r="D30" s="133"/>
      <c r="E30" s="133"/>
      <c r="F30" s="133"/>
      <c r="G30" s="22"/>
      <c r="H30" s="133"/>
      <c r="I30" s="133"/>
      <c r="J30" s="133"/>
      <c r="K30" s="133"/>
      <c r="L30" s="133"/>
    </row>
    <row r="31" spans="1:12" x14ac:dyDescent="0.2">
      <c r="A31" s="13">
        <v>6600</v>
      </c>
      <c r="B31" s="13" t="s">
        <v>24</v>
      </c>
      <c r="C31" s="167"/>
      <c r="D31" s="133"/>
      <c r="E31" s="133"/>
      <c r="F31" s="133"/>
      <c r="G31" s="22"/>
      <c r="H31" s="133"/>
      <c r="I31" s="133"/>
      <c r="J31" s="133"/>
      <c r="K31" s="133"/>
      <c r="L31" s="133"/>
    </row>
    <row r="32" spans="1:12" x14ac:dyDescent="0.2">
      <c r="A32" s="13">
        <v>6620</v>
      </c>
      <c r="B32" s="13" t="s">
        <v>25</v>
      </c>
      <c r="C32" s="167"/>
      <c r="D32" s="133"/>
      <c r="E32" s="133"/>
      <c r="F32" s="133"/>
      <c r="G32" s="22"/>
      <c r="H32" s="133"/>
      <c r="I32" s="133"/>
      <c r="J32" s="133"/>
      <c r="K32" s="133"/>
      <c r="L32" s="133"/>
    </row>
    <row r="33" spans="1:12" x14ac:dyDescent="0.2">
      <c r="A33" s="13">
        <v>6630</v>
      </c>
      <c r="B33" s="13" t="s">
        <v>47</v>
      </c>
      <c r="C33" s="167"/>
      <c r="D33" s="133"/>
      <c r="E33" s="133"/>
      <c r="F33" s="133"/>
      <c r="G33" s="22"/>
      <c r="H33" s="133"/>
      <c r="I33" s="133"/>
      <c r="J33" s="133"/>
      <c r="K33" s="133"/>
      <c r="L33" s="133"/>
    </row>
    <row r="34" spans="1:12" x14ac:dyDescent="0.2">
      <c r="A34" s="13">
        <v>6705</v>
      </c>
      <c r="B34" s="23" t="s">
        <v>28</v>
      </c>
      <c r="C34" s="169"/>
      <c r="D34" s="133"/>
      <c r="E34" s="133"/>
      <c r="F34" s="133"/>
      <c r="G34" s="22"/>
      <c r="H34" s="133"/>
      <c r="I34" s="133"/>
      <c r="J34" s="133"/>
      <c r="K34" s="133"/>
      <c r="L34" s="133"/>
    </row>
    <row r="35" spans="1:12" x14ac:dyDescent="0.2">
      <c r="A35" s="13">
        <v>6800</v>
      </c>
      <c r="B35" s="13" t="s">
        <v>43</v>
      </c>
      <c r="C35" s="167"/>
      <c r="D35" s="133"/>
      <c r="E35" s="133"/>
      <c r="F35" s="133"/>
      <c r="G35" s="22"/>
      <c r="H35" s="133"/>
      <c r="I35" s="133"/>
      <c r="J35" s="133"/>
      <c r="K35" s="133"/>
      <c r="L35" s="133"/>
    </row>
    <row r="36" spans="1:12" x14ac:dyDescent="0.2">
      <c r="A36" s="13">
        <v>6840</v>
      </c>
      <c r="B36" s="13" t="s">
        <v>26</v>
      </c>
      <c r="C36" s="167"/>
      <c r="D36" s="133"/>
      <c r="E36" s="133"/>
      <c r="F36" s="133"/>
      <c r="G36" s="22"/>
      <c r="H36" s="133"/>
      <c r="I36" s="133"/>
      <c r="J36" s="133"/>
      <c r="K36" s="133"/>
      <c r="L36" s="133"/>
    </row>
    <row r="37" spans="1:12" x14ac:dyDescent="0.2">
      <c r="A37" s="13">
        <v>6860</v>
      </c>
      <c r="B37" s="13" t="s">
        <v>27</v>
      </c>
      <c r="C37" s="167"/>
      <c r="D37" s="133"/>
      <c r="E37" s="133"/>
      <c r="F37" s="133"/>
      <c r="G37" s="22"/>
      <c r="H37" s="133"/>
      <c r="I37" s="133"/>
      <c r="J37" s="133"/>
      <c r="K37" s="133"/>
      <c r="L37" s="133"/>
    </row>
    <row r="38" spans="1:12" x14ac:dyDescent="0.2">
      <c r="A38" s="13">
        <v>6900</v>
      </c>
      <c r="B38" s="23" t="s">
        <v>44</v>
      </c>
      <c r="C38" s="169"/>
      <c r="D38" s="133"/>
      <c r="E38" s="133"/>
      <c r="F38" s="133"/>
      <c r="G38" s="22"/>
      <c r="H38" s="133"/>
      <c r="I38" s="133"/>
      <c r="J38" s="133"/>
      <c r="K38" s="133"/>
      <c r="L38" s="133"/>
    </row>
    <row r="39" spans="1:12" x14ac:dyDescent="0.2">
      <c r="A39" s="13">
        <v>6940</v>
      </c>
      <c r="B39" s="13" t="s">
        <v>29</v>
      </c>
      <c r="C39" s="167"/>
      <c r="D39" s="133"/>
      <c r="E39" s="133"/>
      <c r="F39" s="133"/>
      <c r="G39" s="22"/>
      <c r="H39" s="133"/>
      <c r="I39" s="133"/>
      <c r="J39" s="133"/>
      <c r="K39" s="133"/>
      <c r="L39" s="133"/>
    </row>
    <row r="40" spans="1:12" x14ac:dyDescent="0.2">
      <c r="A40" s="13">
        <v>7000</v>
      </c>
      <c r="B40" s="13" t="s">
        <v>48</v>
      </c>
      <c r="C40" s="167"/>
      <c r="D40" s="133"/>
      <c r="E40" s="133"/>
      <c r="F40" s="133"/>
      <c r="G40" s="22"/>
      <c r="H40" s="133"/>
      <c r="I40" s="133"/>
      <c r="J40" s="133"/>
      <c r="K40" s="133"/>
      <c r="L40" s="133"/>
    </row>
    <row r="41" spans="1:12" x14ac:dyDescent="0.2">
      <c r="A41" s="13">
        <v>7140</v>
      </c>
      <c r="B41" s="13" t="s">
        <v>45</v>
      </c>
      <c r="C41" s="167"/>
      <c r="D41" s="133"/>
      <c r="E41" s="133"/>
      <c r="F41" s="133"/>
      <c r="G41" s="22"/>
      <c r="H41" s="133"/>
      <c r="I41" s="133"/>
      <c r="J41" s="133"/>
      <c r="K41" s="133"/>
      <c r="L41" s="133"/>
    </row>
    <row r="42" spans="1:12" x14ac:dyDescent="0.2">
      <c r="A42" s="13">
        <v>7320</v>
      </c>
      <c r="B42" s="23" t="s">
        <v>30</v>
      </c>
      <c r="C42" s="169"/>
      <c r="D42" s="133">
        <v>960</v>
      </c>
      <c r="E42" s="133"/>
      <c r="F42" s="133"/>
      <c r="G42" s="22">
        <v>1000</v>
      </c>
      <c r="H42" s="133"/>
      <c r="I42" s="133">
        <v>1000</v>
      </c>
      <c r="J42" s="133"/>
      <c r="K42" s="133"/>
      <c r="L42" s="133"/>
    </row>
    <row r="43" spans="1:12" x14ac:dyDescent="0.2">
      <c r="A43" s="13">
        <v>7400</v>
      </c>
      <c r="B43" s="13" t="s">
        <v>31</v>
      </c>
      <c r="C43" s="167"/>
      <c r="D43" s="133"/>
      <c r="E43" s="133"/>
      <c r="F43" s="133"/>
      <c r="G43" s="22"/>
      <c r="H43" s="133"/>
      <c r="I43" s="133"/>
      <c r="J43" s="133"/>
      <c r="K43" s="133"/>
      <c r="L43" s="133"/>
    </row>
    <row r="44" spans="1:12" x14ac:dyDescent="0.2">
      <c r="A44" s="13">
        <v>7420</v>
      </c>
      <c r="B44" s="13" t="s">
        <v>12</v>
      </c>
      <c r="C44" s="167"/>
      <c r="D44" s="133"/>
      <c r="E44" s="133"/>
      <c r="F44" s="133"/>
      <c r="G44" s="22"/>
      <c r="H44" s="133"/>
      <c r="I44" s="133"/>
      <c r="J44" s="133"/>
      <c r="K44" s="133"/>
      <c r="L44" s="133"/>
    </row>
    <row r="45" spans="1:12" x14ac:dyDescent="0.2">
      <c r="A45" s="13">
        <v>7500</v>
      </c>
      <c r="B45" s="13" t="s">
        <v>21</v>
      </c>
      <c r="C45" s="167"/>
      <c r="D45" s="133"/>
      <c r="E45" s="133"/>
      <c r="F45" s="133"/>
      <c r="G45" s="22"/>
      <c r="H45" s="133"/>
      <c r="I45" s="133"/>
      <c r="J45" s="133"/>
      <c r="K45" s="133"/>
      <c r="L45" s="133"/>
    </row>
    <row r="46" spans="1:12" s="142" customFormat="1" x14ac:dyDescent="0.2">
      <c r="A46" s="13">
        <v>7745</v>
      </c>
      <c r="B46" s="13" t="s">
        <v>90</v>
      </c>
      <c r="C46" s="167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1:12" x14ac:dyDescent="0.2">
      <c r="A47" s="13">
        <v>7750</v>
      </c>
      <c r="B47" s="13" t="s">
        <v>32</v>
      </c>
      <c r="C47" s="167"/>
      <c r="D47" s="133"/>
      <c r="E47" s="133"/>
      <c r="F47" s="133"/>
      <c r="G47" s="22"/>
      <c r="H47" s="133"/>
      <c r="I47" s="133"/>
      <c r="J47" s="133"/>
      <c r="K47" s="133"/>
      <c r="L47" s="133"/>
    </row>
    <row r="48" spans="1:12" x14ac:dyDescent="0.2">
      <c r="A48" s="13">
        <v>7755</v>
      </c>
      <c r="B48" s="13" t="s">
        <v>33</v>
      </c>
      <c r="C48" s="167"/>
      <c r="D48" s="133"/>
      <c r="E48" s="133"/>
      <c r="F48" s="133"/>
      <c r="G48" s="22"/>
      <c r="H48" s="133"/>
      <c r="I48" s="133"/>
      <c r="J48" s="133"/>
      <c r="K48" s="133"/>
      <c r="L48" s="133"/>
    </row>
    <row r="49" spans="1:12" x14ac:dyDescent="0.2">
      <c r="A49" s="13">
        <v>7770</v>
      </c>
      <c r="B49" s="13" t="s">
        <v>46</v>
      </c>
      <c r="C49" s="167"/>
      <c r="D49" s="133"/>
      <c r="E49" s="133"/>
      <c r="F49" s="133"/>
      <c r="G49" s="22"/>
      <c r="H49" s="133"/>
      <c r="I49" s="133"/>
      <c r="J49" s="133"/>
      <c r="K49" s="133"/>
      <c r="L49" s="133"/>
    </row>
    <row r="50" spans="1:12" x14ac:dyDescent="0.2">
      <c r="A50" s="13">
        <v>7790</v>
      </c>
      <c r="B50" s="13" t="s">
        <v>34</v>
      </c>
      <c r="C50" s="167"/>
      <c r="D50" s="133"/>
      <c r="E50" s="133"/>
      <c r="F50" s="133"/>
      <c r="G50" s="22"/>
      <c r="H50" s="133"/>
      <c r="I50" s="133"/>
      <c r="J50" s="133"/>
      <c r="K50" s="133"/>
      <c r="L50" s="133"/>
    </row>
    <row r="51" spans="1:12" x14ac:dyDescent="0.2">
      <c r="A51" s="13">
        <v>6010</v>
      </c>
      <c r="B51" s="23" t="s">
        <v>35</v>
      </c>
      <c r="C51" s="169"/>
      <c r="D51" s="133"/>
      <c r="E51" s="133"/>
      <c r="F51" s="133"/>
      <c r="G51" s="22"/>
      <c r="H51" s="133"/>
      <c r="I51" s="133"/>
      <c r="J51" s="133"/>
      <c r="K51" s="133"/>
      <c r="L51" s="133"/>
    </row>
    <row r="52" spans="1:12" x14ac:dyDescent="0.2">
      <c r="A52" s="13"/>
      <c r="B52" s="26" t="s">
        <v>36</v>
      </c>
      <c r="C52" s="166"/>
      <c r="D52" s="139">
        <f>SUM(D20:D51)</f>
        <v>960</v>
      </c>
      <c r="E52" s="32">
        <f>SUM(E20:E51)</f>
        <v>0</v>
      </c>
      <c r="F52" s="139">
        <f>SUM(F19:F51)</f>
        <v>0</v>
      </c>
      <c r="G52" s="32">
        <f>SUM(G19:G51)</f>
        <v>1000</v>
      </c>
      <c r="H52" s="139"/>
      <c r="I52" s="139">
        <f>SUM(I19:I51)</f>
        <v>2000</v>
      </c>
      <c r="J52" s="139"/>
      <c r="K52" s="139"/>
      <c r="L52" s="139"/>
    </row>
    <row r="53" spans="1:12" x14ac:dyDescent="0.2">
      <c r="A53" s="13"/>
      <c r="B53" s="33"/>
      <c r="C53" s="172"/>
      <c r="D53" s="137"/>
      <c r="E53" s="29"/>
      <c r="F53" s="137"/>
      <c r="G53" s="29"/>
      <c r="H53" s="137"/>
      <c r="I53" s="137"/>
      <c r="J53" s="137"/>
      <c r="K53" s="137"/>
      <c r="L53" s="137"/>
    </row>
    <row r="54" spans="1:12" x14ac:dyDescent="0.2">
      <c r="A54" s="13"/>
      <c r="B54" s="26" t="s">
        <v>38</v>
      </c>
      <c r="C54" s="166"/>
      <c r="D54" s="139">
        <f>(D18-D52)</f>
        <v>1190</v>
      </c>
      <c r="E54" s="32">
        <f>(E18-E52)</f>
        <v>0</v>
      </c>
      <c r="F54" s="139">
        <f>F18-F52</f>
        <v>0</v>
      </c>
      <c r="G54" s="32">
        <f>G18-G52</f>
        <v>1000</v>
      </c>
      <c r="H54" s="139"/>
      <c r="I54" s="139">
        <f>I18-I52</f>
        <v>0</v>
      </c>
      <c r="J54" s="139"/>
      <c r="K54" s="139"/>
      <c r="L54" s="139"/>
    </row>
    <row r="55" spans="1:12" x14ac:dyDescent="0.2">
      <c r="A55" s="23"/>
      <c r="B55" s="23"/>
      <c r="C55" s="169"/>
      <c r="D55" s="134"/>
      <c r="E55" s="23"/>
      <c r="F55" s="134"/>
      <c r="G55" s="23"/>
      <c r="H55" s="134"/>
      <c r="I55" s="134"/>
      <c r="J55" s="134"/>
      <c r="K55" s="134"/>
      <c r="L55" s="134"/>
    </row>
    <row r="56" spans="1:12" x14ac:dyDescent="0.2">
      <c r="A56" s="23"/>
      <c r="B56" s="24" t="s">
        <v>49</v>
      </c>
      <c r="C56" s="173"/>
      <c r="D56" s="135"/>
      <c r="E56" s="25"/>
      <c r="F56" s="135"/>
      <c r="G56" s="25"/>
      <c r="H56" s="135"/>
      <c r="I56" s="135"/>
      <c r="J56" s="135"/>
      <c r="K56" s="135"/>
      <c r="L56" s="135"/>
    </row>
    <row r="57" spans="1:12" x14ac:dyDescent="0.2">
      <c r="A57" s="23"/>
      <c r="B57" s="23" t="s">
        <v>50</v>
      </c>
      <c r="C57" s="169"/>
      <c r="D57" s="135"/>
      <c r="E57" s="25"/>
      <c r="F57" s="135"/>
      <c r="G57" s="25"/>
      <c r="H57" s="135"/>
      <c r="I57" s="135"/>
      <c r="J57" s="135"/>
      <c r="K57" s="135"/>
      <c r="L57" s="135"/>
    </row>
    <row r="58" spans="1:12" x14ac:dyDescent="0.2">
      <c r="A58" s="23"/>
      <c r="B58" s="23" t="s">
        <v>52</v>
      </c>
      <c r="C58" s="169"/>
      <c r="D58" s="135"/>
      <c r="E58" s="25"/>
      <c r="F58" s="135"/>
      <c r="G58" s="25"/>
      <c r="H58" s="135"/>
      <c r="I58" s="135"/>
      <c r="J58" s="135"/>
      <c r="K58" s="135"/>
      <c r="L58" s="135"/>
    </row>
    <row r="59" spans="1:12" x14ac:dyDescent="0.2">
      <c r="A59" s="23"/>
      <c r="B59" s="34" t="s">
        <v>53</v>
      </c>
      <c r="C59" s="174"/>
      <c r="D59" s="140">
        <f>D57-D58</f>
        <v>0</v>
      </c>
      <c r="E59" s="35">
        <f>E57-E58</f>
        <v>0</v>
      </c>
      <c r="F59" s="140">
        <f>F57-F58</f>
        <v>0</v>
      </c>
      <c r="G59" s="35">
        <f>G57-G58</f>
        <v>0</v>
      </c>
      <c r="H59" s="140"/>
      <c r="I59" s="140"/>
      <c r="J59" s="140"/>
      <c r="K59" s="140"/>
      <c r="L59" s="140"/>
    </row>
    <row r="60" spans="1:12" x14ac:dyDescent="0.2">
      <c r="A60" s="23"/>
      <c r="B60" s="23"/>
      <c r="C60" s="169"/>
      <c r="D60" s="135"/>
      <c r="E60" s="25"/>
      <c r="F60" s="135"/>
      <c r="G60" s="25"/>
      <c r="H60" s="135"/>
      <c r="I60" s="135"/>
      <c r="J60" s="135"/>
      <c r="K60" s="135"/>
      <c r="L60" s="135"/>
    </row>
    <row r="61" spans="1:12" x14ac:dyDescent="0.2">
      <c r="A61" s="23"/>
      <c r="B61" s="36" t="s">
        <v>37</v>
      </c>
      <c r="C61" s="175"/>
      <c r="D61" s="141">
        <f>D54+D59</f>
        <v>1190</v>
      </c>
      <c r="E61" s="37">
        <f>E54+E59</f>
        <v>0</v>
      </c>
      <c r="F61" s="141">
        <f>F54+F59</f>
        <v>0</v>
      </c>
      <c r="G61" s="37">
        <f>G54+G59</f>
        <v>1000</v>
      </c>
      <c r="H61" s="141"/>
      <c r="I61" s="141"/>
      <c r="J61" s="141"/>
      <c r="K61" s="141"/>
      <c r="L61" s="141"/>
    </row>
    <row r="63" spans="1:12" x14ac:dyDescent="0.2">
      <c r="B63" s="113" t="s">
        <v>85</v>
      </c>
      <c r="C63" s="113"/>
    </row>
    <row r="64" spans="1:12" x14ac:dyDescent="0.2">
      <c r="B64" t="s">
        <v>108</v>
      </c>
    </row>
  </sheetData>
  <pageMargins left="0.7" right="0.7" top="0.75" bottom="0.75" header="0.3" footer="0.3"/>
  <pageSetup paperSize="9" scale="7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4"/>
  <sheetViews>
    <sheetView workbookViewId="0">
      <pane xSplit="2" ySplit="3" topLeftCell="E35" activePane="bottomRight" state="frozen"/>
      <selection pane="topRight" activeCell="C1" sqref="C1"/>
      <selection pane="bottomLeft" activeCell="A4" sqref="A4"/>
      <selection pane="bottomRight" activeCell="F7" sqref="F7"/>
    </sheetView>
  </sheetViews>
  <sheetFormatPr baseColWidth="10" defaultRowHeight="15" x14ac:dyDescent="0.2"/>
  <cols>
    <col min="1" max="1" width="8.1640625" style="142" customWidth="1"/>
    <col min="2" max="2" width="27" style="142" customWidth="1"/>
    <col min="3" max="3" width="8" style="142" customWidth="1"/>
    <col min="4" max="4" width="14.83203125" style="142" bestFit="1" customWidth="1"/>
    <col min="5" max="8" width="13.33203125" style="142" customWidth="1"/>
    <col min="9" max="16384" width="10.83203125" style="142"/>
  </cols>
  <sheetData>
    <row r="1" spans="1:10" ht="23" x14ac:dyDescent="0.25">
      <c r="B1" s="1" t="s">
        <v>207</v>
      </c>
      <c r="C1" s="1"/>
      <c r="D1" s="1"/>
      <c r="E1" s="3"/>
      <c r="F1" s="3"/>
      <c r="G1" s="3"/>
      <c r="H1" s="3"/>
    </row>
    <row r="2" spans="1:10" ht="23" x14ac:dyDescent="0.25">
      <c r="B2" s="1"/>
      <c r="C2" s="1"/>
      <c r="D2" s="1"/>
      <c r="E2" s="3"/>
      <c r="F2" s="3"/>
      <c r="G2" s="3"/>
      <c r="H2" s="3"/>
    </row>
    <row r="3" spans="1:10" x14ac:dyDescent="0.2">
      <c r="A3" s="27" t="s">
        <v>0</v>
      </c>
      <c r="B3" s="26" t="s">
        <v>1</v>
      </c>
      <c r="C3" s="166" t="s">
        <v>75</v>
      </c>
      <c r="D3" s="166" t="s">
        <v>135</v>
      </c>
      <c r="E3" s="27" t="s">
        <v>162</v>
      </c>
      <c r="F3" s="27" t="s">
        <v>163</v>
      </c>
      <c r="G3" s="27" t="s">
        <v>195</v>
      </c>
      <c r="H3" s="214"/>
      <c r="J3" s="15"/>
    </row>
    <row r="4" spans="1:10" x14ac:dyDescent="0.2">
      <c r="A4" s="13">
        <v>3110</v>
      </c>
      <c r="B4" s="13" t="s">
        <v>2</v>
      </c>
      <c r="C4" s="167"/>
      <c r="D4" s="210"/>
      <c r="E4" s="119"/>
      <c r="F4" s="119"/>
      <c r="G4" s="119"/>
      <c r="H4" s="218"/>
      <c r="J4" s="17"/>
    </row>
    <row r="5" spans="1:10" x14ac:dyDescent="0.2">
      <c r="A5" s="13">
        <v>3115</v>
      </c>
      <c r="B5" s="13" t="s">
        <v>3</v>
      </c>
      <c r="C5" s="167"/>
      <c r="D5" s="210"/>
      <c r="E5" s="119"/>
      <c r="F5" s="119"/>
      <c r="G5" s="119"/>
      <c r="H5" s="218"/>
      <c r="J5" s="124"/>
    </row>
    <row r="6" spans="1:10" x14ac:dyDescent="0.2">
      <c r="A6" s="13">
        <v>3400</v>
      </c>
      <c r="B6" s="13" t="s">
        <v>4</v>
      </c>
      <c r="C6" s="167"/>
      <c r="D6" s="210"/>
      <c r="E6" s="119">
        <v>4800</v>
      </c>
      <c r="F6" s="142">
        <v>6106</v>
      </c>
      <c r="G6" s="119"/>
      <c r="H6" s="218"/>
      <c r="J6" s="124"/>
    </row>
    <row r="7" spans="1:10" x14ac:dyDescent="0.2">
      <c r="A7" s="13">
        <v>3440</v>
      </c>
      <c r="B7" s="13" t="s">
        <v>55</v>
      </c>
      <c r="C7" s="167"/>
      <c r="D7" s="210"/>
      <c r="E7" s="119"/>
      <c r="F7" s="119"/>
      <c r="G7" s="114"/>
      <c r="H7" s="218"/>
      <c r="J7" s="124"/>
    </row>
    <row r="8" spans="1:10" x14ac:dyDescent="0.2">
      <c r="A8" s="13">
        <v>3605</v>
      </c>
      <c r="B8" s="13" t="s">
        <v>5</v>
      </c>
      <c r="C8" s="167"/>
      <c r="D8" s="167"/>
      <c r="E8" s="114"/>
      <c r="F8" s="114"/>
      <c r="G8" s="121"/>
      <c r="H8" s="20"/>
      <c r="J8" s="124"/>
    </row>
    <row r="9" spans="1:10" x14ac:dyDescent="0.2">
      <c r="A9" s="13">
        <v>3620</v>
      </c>
      <c r="B9" s="134" t="s">
        <v>89</v>
      </c>
      <c r="C9" s="169"/>
      <c r="D9" s="169"/>
      <c r="E9" s="121"/>
      <c r="F9" s="121"/>
      <c r="G9" s="121"/>
      <c r="H9" s="218"/>
      <c r="J9" s="124"/>
    </row>
    <row r="10" spans="1:10" x14ac:dyDescent="0.2">
      <c r="A10" s="13">
        <v>3920</v>
      </c>
      <c r="B10" s="13" t="s">
        <v>6</v>
      </c>
      <c r="C10" s="167"/>
      <c r="D10" s="167"/>
      <c r="E10" s="121"/>
      <c r="F10" s="121"/>
      <c r="G10" s="121">
        <v>25000</v>
      </c>
      <c r="H10" s="218"/>
      <c r="J10" s="124"/>
    </row>
    <row r="11" spans="1:10" x14ac:dyDescent="0.2">
      <c r="A11" s="13">
        <v>3925</v>
      </c>
      <c r="B11" s="13" t="s">
        <v>7</v>
      </c>
      <c r="C11" s="167"/>
      <c r="D11" s="167">
        <v>12000</v>
      </c>
      <c r="E11" s="121">
        <v>32000</v>
      </c>
      <c r="F11" s="226">
        <v>25900</v>
      </c>
      <c r="G11" s="121"/>
      <c r="H11" s="218"/>
      <c r="J11" s="124"/>
    </row>
    <row r="12" spans="1:10" x14ac:dyDescent="0.2">
      <c r="A12" s="13">
        <v>3926</v>
      </c>
      <c r="B12" s="134" t="s">
        <v>13</v>
      </c>
      <c r="C12" s="169"/>
      <c r="D12" s="169"/>
      <c r="E12" s="121"/>
      <c r="F12" s="121"/>
      <c r="G12" s="121">
        <v>2000</v>
      </c>
      <c r="H12" s="218"/>
      <c r="J12" s="124"/>
    </row>
    <row r="13" spans="1:10" x14ac:dyDescent="0.2">
      <c r="A13" s="13">
        <v>3950</v>
      </c>
      <c r="B13" s="13" t="s">
        <v>9</v>
      </c>
      <c r="C13" s="167"/>
      <c r="D13" s="167"/>
      <c r="E13" s="121"/>
      <c r="F13" s="121">
        <v>1500</v>
      </c>
      <c r="G13" s="119"/>
      <c r="H13" s="218"/>
      <c r="J13" s="124"/>
    </row>
    <row r="14" spans="1:10" x14ac:dyDescent="0.2">
      <c r="A14" s="13">
        <v>3970</v>
      </c>
      <c r="B14" s="13" t="s">
        <v>10</v>
      </c>
      <c r="C14" s="167"/>
      <c r="D14" s="210"/>
      <c r="E14" s="119"/>
      <c r="F14" s="119">
        <v>10000</v>
      </c>
      <c r="G14" s="119"/>
      <c r="H14" s="218"/>
      <c r="J14" s="124"/>
    </row>
    <row r="15" spans="1:10" x14ac:dyDescent="0.2">
      <c r="A15" s="13">
        <v>3975</v>
      </c>
      <c r="B15" s="13" t="s">
        <v>11</v>
      </c>
      <c r="C15" s="167"/>
      <c r="D15" s="210"/>
      <c r="E15" s="119"/>
      <c r="F15" s="119"/>
      <c r="G15" s="119">
        <v>74000</v>
      </c>
      <c r="H15" s="218"/>
      <c r="J15" s="124"/>
    </row>
    <row r="16" spans="1:10" x14ac:dyDescent="0.2">
      <c r="A16" s="13">
        <v>3980</v>
      </c>
      <c r="B16" s="13" t="s">
        <v>12</v>
      </c>
      <c r="C16" s="167"/>
      <c r="D16" s="210"/>
      <c r="E16" s="119"/>
      <c r="F16" s="119"/>
      <c r="G16" s="119"/>
      <c r="H16" s="218"/>
      <c r="J16" s="124"/>
    </row>
    <row r="17" spans="1:10" x14ac:dyDescent="0.2">
      <c r="A17" s="13">
        <v>3990</v>
      </c>
      <c r="B17" s="134" t="s">
        <v>8</v>
      </c>
      <c r="C17" s="169"/>
      <c r="D17" s="211"/>
      <c r="E17" s="119"/>
      <c r="F17" s="119"/>
      <c r="G17" s="119"/>
      <c r="H17" s="218"/>
      <c r="J17" s="124"/>
    </row>
    <row r="18" spans="1:10" x14ac:dyDescent="0.2">
      <c r="A18" s="13"/>
      <c r="B18" s="30" t="s">
        <v>14</v>
      </c>
      <c r="C18" s="170"/>
      <c r="D18" s="138">
        <f>SUM(D4:D17)</f>
        <v>12000</v>
      </c>
      <c r="E18" s="138">
        <f>SUM(E4:E17)</f>
        <v>36800</v>
      </c>
      <c r="F18" s="138">
        <f>SUM(F4:F17)</f>
        <v>43506</v>
      </c>
      <c r="G18" s="138">
        <f>SUM(G4:G17)</f>
        <v>101000</v>
      </c>
      <c r="H18" s="219"/>
      <c r="J18" s="124"/>
    </row>
    <row r="19" spans="1:10" x14ac:dyDescent="0.2">
      <c r="A19" s="13"/>
      <c r="B19" s="12" t="s">
        <v>15</v>
      </c>
      <c r="C19" s="171"/>
      <c r="D19" s="171"/>
      <c r="E19" s="121"/>
      <c r="F19" s="121"/>
      <c r="G19" s="121"/>
      <c r="H19" s="218"/>
      <c r="J19" s="124"/>
    </row>
    <row r="20" spans="1:10" x14ac:dyDescent="0.2">
      <c r="A20" s="13">
        <v>4210</v>
      </c>
      <c r="B20" s="13" t="s">
        <v>16</v>
      </c>
      <c r="C20" s="167"/>
      <c r="D20" s="167"/>
      <c r="E20" s="121"/>
      <c r="F20" s="121"/>
      <c r="G20" s="121"/>
      <c r="H20" s="218"/>
      <c r="J20" s="124"/>
    </row>
    <row r="21" spans="1:10" x14ac:dyDescent="0.2">
      <c r="A21" s="13">
        <v>4220</v>
      </c>
      <c r="B21" s="13" t="s">
        <v>17</v>
      </c>
      <c r="C21" s="167"/>
      <c r="D21" s="167"/>
      <c r="E21" s="121"/>
      <c r="F21" s="121"/>
      <c r="G21" s="121"/>
      <c r="H21" s="218"/>
      <c r="J21" s="124"/>
    </row>
    <row r="22" spans="1:10" x14ac:dyDescent="0.2">
      <c r="A22" s="13">
        <v>4225</v>
      </c>
      <c r="B22" s="13" t="s">
        <v>19</v>
      </c>
      <c r="C22" s="167"/>
      <c r="D22" s="167"/>
      <c r="E22" s="121"/>
      <c r="F22" s="121"/>
      <c r="G22" s="121"/>
      <c r="H22" s="218"/>
      <c r="J22" s="124"/>
    </row>
    <row r="23" spans="1:10" x14ac:dyDescent="0.2">
      <c r="A23" s="13">
        <v>4300</v>
      </c>
      <c r="B23" s="13" t="s">
        <v>18</v>
      </c>
      <c r="C23" s="167"/>
      <c r="D23" s="167"/>
      <c r="E23" s="121"/>
      <c r="F23" s="121"/>
      <c r="G23" s="121"/>
      <c r="H23" s="218"/>
      <c r="J23" s="124"/>
    </row>
    <row r="24" spans="1:10" x14ac:dyDescent="0.2">
      <c r="A24" s="13">
        <v>5000</v>
      </c>
      <c r="B24" s="13" t="s">
        <v>20</v>
      </c>
      <c r="C24" s="167"/>
      <c r="D24" s="167"/>
      <c r="E24" s="121"/>
      <c r="F24" s="121"/>
      <c r="G24" s="121"/>
      <c r="H24" s="218"/>
      <c r="J24" s="124"/>
    </row>
    <row r="25" spans="1:10" x14ac:dyDescent="0.2">
      <c r="A25" s="13">
        <v>6315</v>
      </c>
      <c r="B25" s="13" t="s">
        <v>22</v>
      </c>
      <c r="C25" s="167"/>
      <c r="D25" s="167"/>
      <c r="E25" s="121"/>
      <c r="F25" s="121"/>
      <c r="G25" s="121"/>
      <c r="H25" s="218"/>
      <c r="J25" s="124"/>
    </row>
    <row r="26" spans="1:10" x14ac:dyDescent="0.2">
      <c r="A26" s="13">
        <v>6316</v>
      </c>
      <c r="B26" s="13" t="s">
        <v>39</v>
      </c>
      <c r="C26" s="167"/>
      <c r="D26" s="167"/>
      <c r="E26" s="121"/>
      <c r="F26" s="121"/>
      <c r="G26" s="121"/>
      <c r="H26" s="218"/>
      <c r="J26" s="124"/>
    </row>
    <row r="27" spans="1:10" x14ac:dyDescent="0.2">
      <c r="A27" s="13">
        <v>6320</v>
      </c>
      <c r="B27" s="13" t="s">
        <v>23</v>
      </c>
      <c r="C27" s="167"/>
      <c r="D27" s="167"/>
      <c r="E27" s="121"/>
      <c r="F27" s="121"/>
      <c r="G27" s="121"/>
      <c r="H27" s="218"/>
      <c r="J27" s="124"/>
    </row>
    <row r="28" spans="1:10" x14ac:dyDescent="0.2">
      <c r="A28" s="13">
        <v>6340</v>
      </c>
      <c r="B28" s="13" t="s">
        <v>41</v>
      </c>
      <c r="C28" s="167"/>
      <c r="D28" s="167"/>
      <c r="E28" s="121"/>
      <c r="F28" s="226"/>
      <c r="G28" s="121"/>
      <c r="H28" s="218"/>
      <c r="J28" s="124"/>
    </row>
    <row r="29" spans="1:10" x14ac:dyDescent="0.2">
      <c r="A29" s="13">
        <v>6340</v>
      </c>
      <c r="B29" s="13" t="s">
        <v>42</v>
      </c>
      <c r="C29" s="167"/>
      <c r="D29" s="167"/>
      <c r="E29" s="121"/>
      <c r="F29" s="121"/>
      <c r="G29" s="121"/>
      <c r="H29" s="218"/>
      <c r="J29" s="124"/>
    </row>
    <row r="30" spans="1:10" x14ac:dyDescent="0.2">
      <c r="A30" s="13">
        <v>6550</v>
      </c>
      <c r="B30" s="13" t="s">
        <v>40</v>
      </c>
      <c r="C30" s="167"/>
      <c r="D30" s="167"/>
      <c r="E30" s="121">
        <f>500+10000+2500</f>
        <v>13000</v>
      </c>
      <c r="F30" s="226">
        <v>27988.959999999999</v>
      </c>
      <c r="G30" s="121">
        <v>84000</v>
      </c>
      <c r="H30" s="218"/>
      <c r="J30" s="124"/>
    </row>
    <row r="31" spans="1:10" x14ac:dyDescent="0.2">
      <c r="A31" s="13">
        <v>6600</v>
      </c>
      <c r="B31" s="13" t="s">
        <v>24</v>
      </c>
      <c r="C31" s="167"/>
      <c r="D31" s="167"/>
      <c r="E31" s="121"/>
      <c r="F31" s="121"/>
      <c r="G31" s="121"/>
      <c r="H31" s="218"/>
      <c r="J31" s="124"/>
    </row>
    <row r="32" spans="1:10" x14ac:dyDescent="0.2">
      <c r="A32" s="13">
        <v>6620</v>
      </c>
      <c r="B32" s="13" t="s">
        <v>25</v>
      </c>
      <c r="C32" s="167"/>
      <c r="D32" s="167"/>
      <c r="E32" s="121"/>
      <c r="F32" s="121"/>
      <c r="G32" s="121"/>
      <c r="H32" s="218"/>
      <c r="J32" s="124"/>
    </row>
    <row r="33" spans="1:10" x14ac:dyDescent="0.2">
      <c r="A33" s="13">
        <v>6630</v>
      </c>
      <c r="B33" s="13" t="s">
        <v>47</v>
      </c>
      <c r="C33" s="167"/>
      <c r="D33" s="167"/>
      <c r="E33" s="121"/>
      <c r="F33" s="121"/>
      <c r="G33" s="121"/>
      <c r="H33" s="218"/>
      <c r="J33" s="124"/>
    </row>
    <row r="34" spans="1:10" x14ac:dyDescent="0.2">
      <c r="A34" s="13">
        <v>6705</v>
      </c>
      <c r="B34" s="134" t="s">
        <v>28</v>
      </c>
      <c r="C34" s="169"/>
      <c r="D34" s="169"/>
      <c r="E34" s="121"/>
      <c r="F34" s="121"/>
      <c r="G34" s="121"/>
      <c r="H34" s="218"/>
      <c r="J34" s="124"/>
    </row>
    <row r="35" spans="1:10" x14ac:dyDescent="0.2">
      <c r="A35" s="13">
        <v>6800</v>
      </c>
      <c r="B35" s="13" t="s">
        <v>43</v>
      </c>
      <c r="C35" s="167"/>
      <c r="D35" s="167"/>
      <c r="E35" s="121"/>
      <c r="F35" s="121"/>
      <c r="G35" s="121"/>
      <c r="H35" s="218"/>
      <c r="J35" s="124"/>
    </row>
    <row r="36" spans="1:10" x14ac:dyDescent="0.2">
      <c r="A36" s="13">
        <v>6840</v>
      </c>
      <c r="B36" s="13" t="s">
        <v>26</v>
      </c>
      <c r="C36" s="167"/>
      <c r="D36" s="167"/>
      <c r="E36" s="121"/>
      <c r="F36" s="121"/>
      <c r="G36" s="121"/>
      <c r="H36" s="218"/>
      <c r="J36" s="124"/>
    </row>
    <row r="37" spans="1:10" x14ac:dyDescent="0.2">
      <c r="A37" s="13">
        <v>6860</v>
      </c>
      <c r="B37" s="13" t="s">
        <v>27</v>
      </c>
      <c r="C37" s="167"/>
      <c r="D37" s="167"/>
      <c r="E37" s="121"/>
      <c r="F37" s="121"/>
      <c r="G37" s="121"/>
      <c r="H37" s="218"/>
      <c r="J37" s="124"/>
    </row>
    <row r="38" spans="1:10" x14ac:dyDescent="0.2">
      <c r="A38" s="13">
        <v>6900</v>
      </c>
      <c r="B38" s="134" t="s">
        <v>44</v>
      </c>
      <c r="C38" s="169"/>
      <c r="D38" s="169"/>
      <c r="E38" s="121"/>
      <c r="F38" s="121"/>
      <c r="G38" s="121"/>
      <c r="H38" s="218"/>
      <c r="J38" s="124"/>
    </row>
    <row r="39" spans="1:10" x14ac:dyDescent="0.2">
      <c r="A39" s="13">
        <v>6940</v>
      </c>
      <c r="B39" s="13" t="s">
        <v>29</v>
      </c>
      <c r="C39" s="167"/>
      <c r="D39" s="167"/>
      <c r="E39" s="121"/>
      <c r="F39" s="121"/>
      <c r="G39" s="121"/>
      <c r="H39" s="218"/>
      <c r="J39" s="124"/>
    </row>
    <row r="40" spans="1:10" x14ac:dyDescent="0.2">
      <c r="A40" s="13">
        <v>7000</v>
      </c>
      <c r="B40" s="13" t="s">
        <v>48</v>
      </c>
      <c r="C40" s="167"/>
      <c r="D40" s="167"/>
      <c r="E40" s="121"/>
      <c r="F40" s="121"/>
      <c r="G40" s="121"/>
      <c r="H40" s="218"/>
      <c r="J40" s="124"/>
    </row>
    <row r="41" spans="1:10" x14ac:dyDescent="0.2">
      <c r="A41" s="13">
        <v>7140</v>
      </c>
      <c r="B41" s="13" t="s">
        <v>45</v>
      </c>
      <c r="C41" s="167"/>
      <c r="D41" s="167"/>
      <c r="E41" s="121"/>
      <c r="F41" s="121"/>
      <c r="G41" s="121">
        <v>3000</v>
      </c>
      <c r="H41" s="218"/>
      <c r="J41" s="124"/>
    </row>
    <row r="42" spans="1:10" x14ac:dyDescent="0.2">
      <c r="A42" s="13">
        <v>7320</v>
      </c>
      <c r="B42" s="134" t="s">
        <v>30</v>
      </c>
      <c r="C42" s="169"/>
      <c r="D42" s="169"/>
      <c r="E42" s="121"/>
      <c r="F42" s="121"/>
      <c r="G42" s="121"/>
      <c r="H42" s="218"/>
      <c r="J42" s="124"/>
    </row>
    <row r="43" spans="1:10" x14ac:dyDescent="0.2">
      <c r="A43" s="13">
        <v>7400</v>
      </c>
      <c r="B43" s="13" t="s">
        <v>31</v>
      </c>
      <c r="C43" s="167"/>
      <c r="D43" s="167"/>
      <c r="E43" s="121">
        <v>2720</v>
      </c>
      <c r="F43" s="226">
        <v>4590</v>
      </c>
      <c r="G43" s="121">
        <v>2500</v>
      </c>
      <c r="H43" s="218"/>
      <c r="J43" s="124"/>
    </row>
    <row r="44" spans="1:10" x14ac:dyDescent="0.2">
      <c r="A44" s="13">
        <v>7420</v>
      </c>
      <c r="B44" s="13" t="s">
        <v>12</v>
      </c>
      <c r="C44" s="167"/>
      <c r="D44" s="167"/>
      <c r="E44" s="121"/>
      <c r="F44" s="121"/>
      <c r="G44" s="121">
        <v>1500</v>
      </c>
      <c r="H44" s="218"/>
      <c r="J44" s="124"/>
    </row>
    <row r="45" spans="1:10" x14ac:dyDescent="0.2">
      <c r="A45" s="13">
        <v>7500</v>
      </c>
      <c r="B45" s="13" t="s">
        <v>21</v>
      </c>
      <c r="C45" s="167"/>
      <c r="D45" s="167"/>
      <c r="E45" s="121"/>
      <c r="F45" s="121"/>
      <c r="G45" s="121"/>
      <c r="H45" s="218"/>
      <c r="J45" s="124"/>
    </row>
    <row r="46" spans="1:10" x14ac:dyDescent="0.2">
      <c r="A46" s="13">
        <v>7745</v>
      </c>
      <c r="B46" s="13" t="s">
        <v>90</v>
      </c>
      <c r="C46" s="167"/>
      <c r="D46" s="167"/>
      <c r="E46" s="121">
        <v>10000</v>
      </c>
      <c r="F46" s="121">
        <v>3250</v>
      </c>
      <c r="G46" s="121">
        <v>5000</v>
      </c>
      <c r="H46" s="218"/>
      <c r="J46" s="124"/>
    </row>
    <row r="47" spans="1:10" x14ac:dyDescent="0.2">
      <c r="A47" s="13">
        <v>7750</v>
      </c>
      <c r="B47" s="13" t="s">
        <v>32</v>
      </c>
      <c r="C47" s="167"/>
      <c r="D47" s="167"/>
      <c r="E47" s="121">
        <v>6000</v>
      </c>
      <c r="F47" s="121"/>
      <c r="G47" s="121">
        <v>3000</v>
      </c>
      <c r="H47" s="218"/>
      <c r="J47" s="124"/>
    </row>
    <row r="48" spans="1:10" x14ac:dyDescent="0.2">
      <c r="A48" s="13">
        <v>7755</v>
      </c>
      <c r="B48" s="13" t="s">
        <v>33</v>
      </c>
      <c r="C48" s="167"/>
      <c r="D48" s="167"/>
      <c r="E48" s="121">
        <v>3000</v>
      </c>
      <c r="F48" s="121"/>
      <c r="G48" s="121"/>
      <c r="H48" s="218"/>
      <c r="J48" s="124"/>
    </row>
    <row r="49" spans="1:10" x14ac:dyDescent="0.2">
      <c r="A49" s="13">
        <v>7770</v>
      </c>
      <c r="B49" s="13" t="s">
        <v>46</v>
      </c>
      <c r="C49" s="176"/>
      <c r="D49" s="176"/>
      <c r="E49" s="121"/>
      <c r="F49" s="121"/>
      <c r="G49" s="121"/>
      <c r="H49" s="218"/>
      <c r="J49" s="124"/>
    </row>
    <row r="50" spans="1:10" x14ac:dyDescent="0.2">
      <c r="A50" s="13">
        <v>7790</v>
      </c>
      <c r="B50" s="13" t="s">
        <v>34</v>
      </c>
      <c r="C50" s="167"/>
      <c r="D50" s="167"/>
      <c r="E50" s="121">
        <v>1000</v>
      </c>
      <c r="F50" s="121"/>
      <c r="G50" s="121">
        <v>1500</v>
      </c>
      <c r="H50" s="218"/>
      <c r="J50" s="124"/>
    </row>
    <row r="51" spans="1:10" x14ac:dyDescent="0.2">
      <c r="A51" s="13">
        <v>6010</v>
      </c>
      <c r="B51" s="134" t="s">
        <v>35</v>
      </c>
      <c r="C51" s="169"/>
      <c r="D51" s="169"/>
      <c r="E51" s="121"/>
      <c r="F51" s="121"/>
      <c r="G51" s="121"/>
      <c r="H51" s="218"/>
      <c r="J51" s="124"/>
    </row>
    <row r="52" spans="1:10" x14ac:dyDescent="0.2">
      <c r="A52" s="13"/>
      <c r="B52" s="26" t="s">
        <v>36</v>
      </c>
      <c r="C52" s="166"/>
      <c r="D52" s="139">
        <f>SUM(D19:D51)</f>
        <v>0</v>
      </c>
      <c r="E52" s="139">
        <f>SUM(E19:E51)</f>
        <v>35720</v>
      </c>
      <c r="F52" s="139">
        <f>SUM(F19:F51)</f>
        <v>35828.959999999999</v>
      </c>
      <c r="G52" s="139">
        <f>SUM(G19:G51)</f>
        <v>100500</v>
      </c>
      <c r="H52" s="215"/>
      <c r="J52" s="124"/>
    </row>
    <row r="53" spans="1:10" x14ac:dyDescent="0.2">
      <c r="A53" s="13"/>
      <c r="B53" s="33"/>
      <c r="C53" s="172"/>
      <c r="D53" s="172"/>
      <c r="E53" s="121"/>
      <c r="F53" s="121"/>
      <c r="G53" s="121"/>
      <c r="H53" s="218"/>
      <c r="J53" s="124"/>
    </row>
    <row r="54" spans="1:10" x14ac:dyDescent="0.2">
      <c r="A54" s="13"/>
      <c r="B54" s="26" t="s">
        <v>38</v>
      </c>
      <c r="C54" s="166"/>
      <c r="D54" s="139">
        <f>D18-D52</f>
        <v>12000</v>
      </c>
      <c r="E54" s="139">
        <f>E18-E52</f>
        <v>1080</v>
      </c>
      <c r="F54" s="139">
        <f>F18-F52</f>
        <v>7677.0400000000009</v>
      </c>
      <c r="G54" s="139">
        <f>G18-G52</f>
        <v>500</v>
      </c>
      <c r="H54" s="215"/>
      <c r="J54" s="124"/>
    </row>
    <row r="55" spans="1:10" x14ac:dyDescent="0.2">
      <c r="A55" s="134"/>
      <c r="B55" s="134"/>
      <c r="C55" s="169"/>
      <c r="D55" s="169"/>
      <c r="E55" s="120"/>
      <c r="F55" s="120"/>
      <c r="G55" s="120"/>
      <c r="H55" s="91"/>
      <c r="J55" s="124"/>
    </row>
    <row r="56" spans="1:10" x14ac:dyDescent="0.2">
      <c r="A56" s="134"/>
      <c r="B56" s="24" t="s">
        <v>49</v>
      </c>
      <c r="C56" s="173"/>
      <c r="D56" s="173"/>
      <c r="E56" s="120"/>
      <c r="F56" s="120"/>
      <c r="G56" s="120"/>
      <c r="H56" s="91"/>
      <c r="J56" s="15"/>
    </row>
    <row r="57" spans="1:10" x14ac:dyDescent="0.2">
      <c r="A57" s="134"/>
      <c r="B57" s="134" t="s">
        <v>50</v>
      </c>
      <c r="C57" s="169"/>
      <c r="D57" s="169"/>
      <c r="E57" s="122"/>
      <c r="F57" s="122"/>
      <c r="G57" s="122"/>
      <c r="H57" s="77"/>
      <c r="J57" s="15"/>
    </row>
    <row r="58" spans="1:10" x14ac:dyDescent="0.2">
      <c r="A58" s="134"/>
      <c r="B58" s="134" t="s">
        <v>52</v>
      </c>
      <c r="C58" s="169"/>
      <c r="D58" s="169"/>
      <c r="E58" s="122"/>
      <c r="F58" s="122"/>
      <c r="G58" s="122"/>
      <c r="H58" s="77"/>
      <c r="J58" s="16"/>
    </row>
    <row r="59" spans="1:10" x14ac:dyDescent="0.2">
      <c r="A59" s="134"/>
      <c r="B59" s="34" t="s">
        <v>53</v>
      </c>
      <c r="C59" s="174"/>
      <c r="D59" s="140">
        <f>D57+D58</f>
        <v>0</v>
      </c>
      <c r="E59" s="140">
        <f>E57+E58</f>
        <v>0</v>
      </c>
      <c r="F59" s="140">
        <f>F57+F58</f>
        <v>0</v>
      </c>
      <c r="G59" s="140"/>
      <c r="H59" s="216"/>
      <c r="J59" s="16"/>
    </row>
    <row r="60" spans="1:10" x14ac:dyDescent="0.2">
      <c r="A60" s="134"/>
      <c r="B60" s="134"/>
      <c r="C60" s="169"/>
      <c r="D60" s="169"/>
      <c r="E60" s="120"/>
      <c r="F60" s="120"/>
      <c r="G60" s="120"/>
      <c r="H60" s="91"/>
      <c r="J60" s="118"/>
    </row>
    <row r="61" spans="1:10" x14ac:dyDescent="0.2">
      <c r="A61" s="134"/>
      <c r="B61" s="36" t="s">
        <v>37</v>
      </c>
      <c r="C61" s="175"/>
      <c r="D61" s="141">
        <f>D54+D59</f>
        <v>12000</v>
      </c>
      <c r="E61" s="141">
        <f>E54+E59</f>
        <v>1080</v>
      </c>
      <c r="F61" s="141">
        <f>F54+F59</f>
        <v>7677.0400000000009</v>
      </c>
      <c r="G61" s="141"/>
      <c r="H61" s="217"/>
      <c r="J61" s="15"/>
    </row>
    <row r="62" spans="1:10" x14ac:dyDescent="0.2">
      <c r="J62" s="118"/>
    </row>
    <row r="63" spans="1:10" x14ac:dyDescent="0.2">
      <c r="B63" s="113" t="s">
        <v>85</v>
      </c>
      <c r="C63" s="113"/>
      <c r="D63" s="113"/>
    </row>
    <row r="64" spans="1:10" x14ac:dyDescent="0.2">
      <c r="B64" s="142" t="s">
        <v>127</v>
      </c>
    </row>
  </sheetData>
  <pageMargins left="0.7" right="0.7" top="0.75" bottom="0.75" header="0.3" footer="0.3"/>
  <pageSetup paperSize="9" scale="6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3"/>
  <sheetViews>
    <sheetView workbookViewId="0">
      <pane xSplit="2" ySplit="3" topLeftCell="E41" activePane="bottomRight" state="frozen"/>
      <selection pane="topRight" activeCell="C1" sqref="C1"/>
      <selection pane="bottomLeft" activeCell="A4" sqref="A4"/>
      <selection pane="bottomRight" activeCell="L60" sqref="L60"/>
    </sheetView>
  </sheetViews>
  <sheetFormatPr baseColWidth="10" defaultRowHeight="15" x14ac:dyDescent="0.2"/>
  <cols>
    <col min="1" max="1" width="7.5" customWidth="1"/>
    <col min="2" max="2" width="28.33203125" customWidth="1"/>
    <col min="3" max="3" width="7.5" style="142" customWidth="1"/>
    <col min="4" max="4" width="14.5" bestFit="1" customWidth="1"/>
    <col min="5" max="5" width="15.6640625" customWidth="1"/>
    <col min="6" max="6" width="15.6640625" bestFit="1" customWidth="1"/>
    <col min="7" max="7" width="13.33203125" bestFit="1" customWidth="1"/>
    <col min="8" max="8" width="15.6640625" style="142" customWidth="1"/>
    <col min="9" max="12" width="13.33203125" style="142" customWidth="1"/>
    <col min="14" max="14" width="14.33203125" bestFit="1" customWidth="1"/>
  </cols>
  <sheetData>
    <row r="1" spans="1:18" ht="23" x14ac:dyDescent="0.25">
      <c r="B1" s="1" t="s">
        <v>140</v>
      </c>
      <c r="C1" s="1"/>
      <c r="D1" s="2"/>
      <c r="E1" s="3"/>
      <c r="F1" s="3"/>
      <c r="G1" s="3"/>
      <c r="H1" s="3"/>
      <c r="I1" s="3"/>
      <c r="J1" s="3"/>
      <c r="K1" s="3"/>
      <c r="L1" s="3"/>
      <c r="Q1" s="4"/>
      <c r="R1" s="4"/>
    </row>
    <row r="2" spans="1:18" ht="23" x14ac:dyDescent="0.25">
      <c r="B2" s="1"/>
      <c r="C2" s="1"/>
      <c r="D2" s="2"/>
      <c r="E2" s="3"/>
      <c r="F2" s="3"/>
      <c r="G2" s="3"/>
      <c r="H2" s="3"/>
      <c r="I2" s="3"/>
      <c r="J2" s="3"/>
      <c r="K2" s="3"/>
      <c r="L2" s="3"/>
      <c r="M2" s="15"/>
      <c r="N2" s="15"/>
      <c r="Q2" s="4"/>
      <c r="R2" s="4"/>
    </row>
    <row r="3" spans="1:18" ht="21.5" customHeight="1" x14ac:dyDescent="0.2">
      <c r="A3" s="27" t="s">
        <v>0</v>
      </c>
      <c r="B3" s="26" t="s">
        <v>1</v>
      </c>
      <c r="C3" s="166" t="s">
        <v>75</v>
      </c>
      <c r="D3" s="27" t="s">
        <v>87</v>
      </c>
      <c r="E3" s="27" t="s">
        <v>109</v>
      </c>
      <c r="F3" s="27" t="s">
        <v>133</v>
      </c>
      <c r="G3" s="27" t="s">
        <v>106</v>
      </c>
      <c r="H3" s="27" t="s">
        <v>135</v>
      </c>
      <c r="I3" s="27" t="s">
        <v>125</v>
      </c>
      <c r="J3" s="27" t="s">
        <v>155</v>
      </c>
      <c r="K3" s="27" t="s">
        <v>163</v>
      </c>
      <c r="L3" s="27" t="s">
        <v>195</v>
      </c>
      <c r="M3" s="17"/>
      <c r="N3" s="17"/>
      <c r="O3" s="17"/>
      <c r="P3" s="17"/>
      <c r="Q3" s="18"/>
      <c r="R3" s="18"/>
    </row>
    <row r="4" spans="1:18" x14ac:dyDescent="0.2">
      <c r="A4" s="13">
        <v>3110</v>
      </c>
      <c r="B4" s="13" t="s">
        <v>2</v>
      </c>
      <c r="C4" s="167"/>
      <c r="D4" s="136">
        <v>65172.5</v>
      </c>
      <c r="E4" s="136">
        <v>78566</v>
      </c>
      <c r="F4" s="136">
        <v>78674.600000000006</v>
      </c>
      <c r="G4" s="28">
        <v>75000</v>
      </c>
      <c r="H4" s="136">
        <f>67955-5902</f>
        <v>62053</v>
      </c>
      <c r="I4" s="136">
        <v>75000</v>
      </c>
      <c r="J4" s="136">
        <v>75000</v>
      </c>
      <c r="K4" s="226">
        <v>61658</v>
      </c>
      <c r="L4" s="136">
        <v>75000</v>
      </c>
      <c r="M4" s="20"/>
      <c r="N4" s="20"/>
      <c r="O4" s="20"/>
      <c r="P4" s="20"/>
      <c r="Q4" s="19"/>
      <c r="R4" s="19"/>
    </row>
    <row r="5" spans="1:18" x14ac:dyDescent="0.2">
      <c r="A5" s="13">
        <v>3115</v>
      </c>
      <c r="B5" s="13" t="s">
        <v>3</v>
      </c>
      <c r="C5" s="167"/>
      <c r="D5" s="136"/>
      <c r="E5" s="136"/>
      <c r="F5" s="136"/>
      <c r="G5" s="28"/>
      <c r="H5" s="136"/>
      <c r="I5" s="136"/>
      <c r="J5" s="136"/>
      <c r="K5" s="226"/>
      <c r="L5" s="136"/>
      <c r="M5" s="20"/>
      <c r="N5" s="20"/>
      <c r="O5" s="20"/>
      <c r="P5" s="20"/>
      <c r="Q5" s="19"/>
      <c r="R5" s="19"/>
    </row>
    <row r="6" spans="1:18" x14ac:dyDescent="0.2">
      <c r="A6" s="13">
        <v>3400</v>
      </c>
      <c r="B6" s="13" t="s">
        <v>4</v>
      </c>
      <c r="C6" s="167"/>
      <c r="D6" s="136"/>
      <c r="E6" s="136"/>
      <c r="F6" s="136"/>
      <c r="G6" s="28"/>
      <c r="H6" s="136"/>
      <c r="I6" s="136"/>
      <c r="J6" s="136"/>
      <c r="K6" s="226"/>
      <c r="L6" s="136"/>
      <c r="M6" s="20"/>
      <c r="N6" s="20"/>
      <c r="O6" s="20"/>
      <c r="P6" s="20"/>
      <c r="Q6" s="19"/>
      <c r="R6" s="19"/>
    </row>
    <row r="7" spans="1:18" x14ac:dyDescent="0.2">
      <c r="A7" s="13">
        <v>3440</v>
      </c>
      <c r="B7" s="13" t="s">
        <v>55</v>
      </c>
      <c r="C7" s="167"/>
      <c r="D7" s="136"/>
      <c r="E7" s="136"/>
      <c r="F7" s="136"/>
      <c r="G7" s="28"/>
      <c r="H7" s="212"/>
      <c r="I7" s="136"/>
      <c r="J7" s="136"/>
      <c r="K7" s="226"/>
      <c r="L7" s="136"/>
      <c r="M7" s="20" t="s">
        <v>127</v>
      </c>
      <c r="N7" s="20"/>
      <c r="O7" s="20"/>
      <c r="P7" s="20"/>
      <c r="Q7" s="19"/>
      <c r="R7" s="19"/>
    </row>
    <row r="8" spans="1:18" x14ac:dyDescent="0.2">
      <c r="A8" s="13">
        <v>3605</v>
      </c>
      <c r="B8" s="13" t="s">
        <v>5</v>
      </c>
      <c r="C8" s="167"/>
      <c r="D8" s="136"/>
      <c r="E8" s="136"/>
      <c r="F8" s="136">
        <v>500</v>
      </c>
      <c r="G8" s="28"/>
      <c r="H8" s="212">
        <v>950</v>
      </c>
      <c r="I8" s="136"/>
      <c r="J8" s="136"/>
      <c r="K8" s="227">
        <v>3150</v>
      </c>
      <c r="L8" s="136"/>
      <c r="M8" s="20" t="s">
        <v>127</v>
      </c>
      <c r="N8" s="20"/>
      <c r="O8" s="20"/>
      <c r="P8" s="20"/>
      <c r="Q8" s="19"/>
      <c r="R8" s="19"/>
    </row>
    <row r="9" spans="1:18" x14ac:dyDescent="0.2">
      <c r="A9" s="13">
        <v>3900</v>
      </c>
      <c r="B9" s="23" t="s">
        <v>233</v>
      </c>
      <c r="C9" s="169"/>
      <c r="D9" s="136"/>
      <c r="E9" s="136">
        <v>220000</v>
      </c>
      <c r="F9" s="136"/>
      <c r="G9" s="28">
        <v>0</v>
      </c>
      <c r="H9" s="136"/>
      <c r="I9" s="136"/>
      <c r="J9" s="136"/>
      <c r="K9" s="136">
        <v>1107</v>
      </c>
      <c r="L9" s="136"/>
      <c r="M9" s="20"/>
      <c r="N9" s="20"/>
      <c r="O9" s="20"/>
      <c r="P9" s="20"/>
      <c r="Q9" s="19"/>
      <c r="R9" s="19"/>
    </row>
    <row r="10" spans="1:18" x14ac:dyDescent="0.2">
      <c r="A10" s="13">
        <v>3920</v>
      </c>
      <c r="B10" s="13" t="s">
        <v>6</v>
      </c>
      <c r="C10" s="167"/>
      <c r="D10" s="136">
        <v>30700</v>
      </c>
      <c r="E10" s="136">
        <v>28620</v>
      </c>
      <c r="F10" s="136">
        <f>38250+200</f>
        <v>38450</v>
      </c>
      <c r="G10" s="28">
        <v>30000</v>
      </c>
      <c r="H10" s="136">
        <v>32850</v>
      </c>
      <c r="I10" s="136">
        <v>30000</v>
      </c>
      <c r="J10" s="136">
        <v>30000</v>
      </c>
      <c r="K10" s="226">
        <v>27900</v>
      </c>
      <c r="L10" s="136">
        <v>30000</v>
      </c>
      <c r="M10" s="20" t="s">
        <v>127</v>
      </c>
      <c r="N10" s="20"/>
      <c r="O10" s="20"/>
      <c r="P10" s="20"/>
      <c r="Q10" s="19"/>
      <c r="R10" s="19"/>
    </row>
    <row r="11" spans="1:18" x14ac:dyDescent="0.2">
      <c r="A11" s="13">
        <v>3925</v>
      </c>
      <c r="B11" s="13" t="s">
        <v>7</v>
      </c>
      <c r="C11" s="167"/>
      <c r="D11" s="136"/>
      <c r="E11" s="136"/>
      <c r="F11" s="136"/>
      <c r="G11" s="28"/>
      <c r="H11" s="212"/>
      <c r="I11" s="136"/>
      <c r="J11" s="136"/>
      <c r="K11" s="136"/>
      <c r="L11" s="136">
        <v>-50000</v>
      </c>
      <c r="M11" s="20" t="s">
        <v>227</v>
      </c>
      <c r="N11" s="20"/>
      <c r="O11" s="20"/>
      <c r="P11" s="20"/>
      <c r="Q11" s="19"/>
      <c r="R11" s="19"/>
    </row>
    <row r="12" spans="1:18" x14ac:dyDescent="0.2">
      <c r="A12" s="13">
        <v>3926</v>
      </c>
      <c r="B12" s="23" t="s">
        <v>13</v>
      </c>
      <c r="C12" s="169"/>
      <c r="D12" s="136">
        <v>32566</v>
      </c>
      <c r="E12" s="136">
        <v>62202</v>
      </c>
      <c r="F12" s="136">
        <v>69198</v>
      </c>
      <c r="G12" s="28">
        <f>55000+1000</f>
        <v>56000</v>
      </c>
      <c r="H12" s="136">
        <v>97413</v>
      </c>
      <c r="I12" s="136">
        <v>50000</v>
      </c>
      <c r="J12" s="136">
        <v>58000</v>
      </c>
      <c r="K12" s="226">
        <v>63776</v>
      </c>
      <c r="L12" s="136">
        <v>60000</v>
      </c>
      <c r="M12" s="20"/>
      <c r="N12" s="20"/>
      <c r="O12" s="20"/>
      <c r="P12" s="20"/>
      <c r="Q12" s="19"/>
      <c r="R12" s="19"/>
    </row>
    <row r="13" spans="1:18" x14ac:dyDescent="0.2">
      <c r="A13" s="13">
        <v>3950</v>
      </c>
      <c r="B13" s="13" t="s">
        <v>9</v>
      </c>
      <c r="C13" s="167"/>
      <c r="D13" s="136"/>
      <c r="E13" s="136">
        <v>11000</v>
      </c>
      <c r="F13" s="136"/>
      <c r="G13" s="28"/>
      <c r="H13" s="136"/>
      <c r="I13" s="136"/>
      <c r="J13" s="136"/>
      <c r="K13" s="136"/>
      <c r="L13" s="136"/>
      <c r="M13" s="20"/>
      <c r="N13" s="20"/>
      <c r="O13" s="20"/>
      <c r="P13" s="20"/>
      <c r="Q13" s="19"/>
      <c r="R13" s="19"/>
    </row>
    <row r="14" spans="1:18" x14ac:dyDescent="0.2">
      <c r="A14" s="13">
        <v>3970</v>
      </c>
      <c r="B14" s="13" t="s">
        <v>10</v>
      </c>
      <c r="C14" s="167"/>
      <c r="D14" s="136">
        <v>68800</v>
      </c>
      <c r="E14" s="136">
        <v>124200</v>
      </c>
      <c r="F14" s="136">
        <v>153000</v>
      </c>
      <c r="G14" s="28">
        <v>150000</v>
      </c>
      <c r="H14" s="212">
        <f>88817+60000</f>
        <v>148817</v>
      </c>
      <c r="I14" s="136">
        <v>150000</v>
      </c>
      <c r="J14" s="136">
        <v>150000</v>
      </c>
      <c r="K14" s="226">
        <f>130046.71</f>
        <v>130046.71</v>
      </c>
      <c r="L14" s="136">
        <v>155000</v>
      </c>
      <c r="M14" s="20"/>
      <c r="N14" s="20" t="s">
        <v>209</v>
      </c>
      <c r="O14" s="20">
        <v>60000</v>
      </c>
      <c r="P14" s="20"/>
      <c r="Q14" s="19"/>
      <c r="R14" s="19"/>
    </row>
    <row r="15" spans="1:18" x14ac:dyDescent="0.2">
      <c r="A15" s="13">
        <v>3975</v>
      </c>
      <c r="B15" s="13" t="s">
        <v>11</v>
      </c>
      <c r="C15" s="167"/>
      <c r="D15" s="136">
        <f>88500+500</f>
        <v>89000</v>
      </c>
      <c r="E15" s="136">
        <v>63450</v>
      </c>
      <c r="F15" s="136">
        <v>76250</v>
      </c>
      <c r="G15" s="28">
        <v>80000</v>
      </c>
      <c r="H15" s="212">
        <v>96457</v>
      </c>
      <c r="I15" s="136">
        <v>80000</v>
      </c>
      <c r="J15" s="136">
        <v>80000</v>
      </c>
      <c r="K15" s="226">
        <v>98842.12</v>
      </c>
      <c r="L15" s="136">
        <v>90000</v>
      </c>
      <c r="M15" s="20"/>
      <c r="N15" s="20" t="s">
        <v>210</v>
      </c>
      <c r="O15" s="20">
        <v>35000</v>
      </c>
      <c r="P15" s="20"/>
      <c r="Q15" s="19"/>
      <c r="R15" s="19"/>
    </row>
    <row r="16" spans="1:18" x14ac:dyDescent="0.2">
      <c r="A16" s="13">
        <v>3980</v>
      </c>
      <c r="B16" s="13" t="s">
        <v>12</v>
      </c>
      <c r="C16" s="167"/>
      <c r="D16" s="136">
        <v>2010</v>
      </c>
      <c r="E16" s="136">
        <v>1406</v>
      </c>
      <c r="F16" s="136">
        <v>14654</v>
      </c>
      <c r="G16" s="28"/>
      <c r="H16" s="136">
        <f>119697-60000</f>
        <v>59697</v>
      </c>
      <c r="I16" s="136"/>
      <c r="J16" s="136"/>
      <c r="K16" s="226">
        <v>3300</v>
      </c>
      <c r="L16" s="136"/>
      <c r="M16" s="20"/>
      <c r="N16" s="20" t="s">
        <v>211</v>
      </c>
      <c r="O16" s="20">
        <v>25000</v>
      </c>
      <c r="P16" s="20"/>
      <c r="Q16" s="19"/>
      <c r="R16" s="19"/>
    </row>
    <row r="17" spans="1:18" x14ac:dyDescent="0.2">
      <c r="A17" s="13">
        <v>3990</v>
      </c>
      <c r="B17" s="23" t="s">
        <v>8</v>
      </c>
      <c r="C17" s="169"/>
      <c r="D17" s="136">
        <v>47333.440000000002</v>
      </c>
      <c r="E17" s="136">
        <v>44400</v>
      </c>
      <c r="F17" s="136">
        <v>49195.51</v>
      </c>
      <c r="G17" s="28">
        <v>45000</v>
      </c>
      <c r="H17" s="212">
        <f>18940.64+38991.31</f>
        <v>57931.95</v>
      </c>
      <c r="I17" s="136">
        <v>50000</v>
      </c>
      <c r="J17" s="136">
        <v>55000</v>
      </c>
      <c r="K17" s="226">
        <f>33673.9+17706.32</f>
        <v>51380.22</v>
      </c>
      <c r="L17" s="136">
        <v>50000</v>
      </c>
      <c r="M17" s="20"/>
      <c r="N17" s="20" t="s">
        <v>212</v>
      </c>
      <c r="O17" s="20">
        <v>20000</v>
      </c>
      <c r="P17" s="20"/>
      <c r="Q17" s="19"/>
      <c r="R17" s="19"/>
    </row>
    <row r="18" spans="1:18" x14ac:dyDescent="0.2">
      <c r="A18" s="13"/>
      <c r="B18" s="30" t="s">
        <v>14</v>
      </c>
      <c r="C18" s="170"/>
      <c r="D18" s="138">
        <f t="shared" ref="D18:L18" si="0">SUM(D4:D17)</f>
        <v>335581.94</v>
      </c>
      <c r="E18" s="138">
        <f t="shared" si="0"/>
        <v>633844</v>
      </c>
      <c r="F18" s="138">
        <f t="shared" si="0"/>
        <v>479922.11</v>
      </c>
      <c r="G18" s="31">
        <f>SUM(G4:G17)</f>
        <v>436000</v>
      </c>
      <c r="H18" s="138">
        <f>SUM(H4:H17)</f>
        <v>556168.94999999995</v>
      </c>
      <c r="I18" s="138">
        <f t="shared" si="0"/>
        <v>435000</v>
      </c>
      <c r="J18" s="138">
        <f t="shared" si="0"/>
        <v>448000</v>
      </c>
      <c r="K18" s="138">
        <f t="shared" si="0"/>
        <v>441160.05000000005</v>
      </c>
      <c r="L18" s="138">
        <f t="shared" si="0"/>
        <v>410000</v>
      </c>
      <c r="M18" s="20"/>
      <c r="N18" s="20" t="s">
        <v>213</v>
      </c>
      <c r="O18" s="20">
        <v>5000</v>
      </c>
      <c r="P18" s="20"/>
      <c r="Q18" s="19"/>
      <c r="R18" s="19"/>
    </row>
    <row r="19" spans="1:18" x14ac:dyDescent="0.2">
      <c r="A19" s="13"/>
      <c r="B19" s="12" t="s">
        <v>15</v>
      </c>
      <c r="C19" s="171"/>
      <c r="D19" s="133"/>
      <c r="E19" s="133"/>
      <c r="F19" s="133"/>
      <c r="G19" s="22"/>
      <c r="H19" s="133"/>
      <c r="I19" s="133"/>
      <c r="J19" s="133"/>
      <c r="K19" s="133"/>
      <c r="L19" s="133"/>
      <c r="M19" s="20"/>
      <c r="N19" s="20" t="s">
        <v>214</v>
      </c>
      <c r="O19" s="20">
        <v>5000</v>
      </c>
      <c r="P19" s="20"/>
      <c r="Q19" s="19"/>
      <c r="R19" s="19"/>
    </row>
    <row r="20" spans="1:18" x14ac:dyDescent="0.2">
      <c r="A20" s="13">
        <v>4210</v>
      </c>
      <c r="B20" s="13" t="s">
        <v>16</v>
      </c>
      <c r="C20" s="167"/>
      <c r="D20" s="133"/>
      <c r="E20" s="133">
        <v>207</v>
      </c>
      <c r="F20" s="121"/>
      <c r="G20" s="22"/>
      <c r="H20" s="121"/>
      <c r="I20" s="133"/>
      <c r="J20" s="133"/>
      <c r="K20" s="133"/>
      <c r="L20" s="133"/>
      <c r="M20" s="20"/>
      <c r="N20" s="20" t="s">
        <v>216</v>
      </c>
      <c r="O20" s="20">
        <v>5000</v>
      </c>
      <c r="P20" s="20"/>
      <c r="Q20" s="19"/>
      <c r="R20" s="19"/>
    </row>
    <row r="21" spans="1:18" x14ac:dyDescent="0.2">
      <c r="A21" s="13">
        <v>4220</v>
      </c>
      <c r="B21" s="13" t="s">
        <v>17</v>
      </c>
      <c r="C21" s="167"/>
      <c r="D21" s="133"/>
      <c r="E21" s="133"/>
      <c r="F21" s="121"/>
      <c r="G21" s="22"/>
      <c r="H21" s="121"/>
      <c r="I21" s="133"/>
      <c r="J21" s="133"/>
      <c r="K21" s="133"/>
      <c r="L21" s="133"/>
      <c r="M21" s="20"/>
      <c r="N21" s="20"/>
      <c r="O21" s="20"/>
      <c r="P21" s="20"/>
      <c r="Q21" s="19"/>
      <c r="R21" s="19"/>
    </row>
    <row r="22" spans="1:18" x14ac:dyDescent="0.2">
      <c r="A22" s="13">
        <v>4225</v>
      </c>
      <c r="B22" s="13" t="s">
        <v>19</v>
      </c>
      <c r="C22" s="167"/>
      <c r="D22" s="133">
        <v>30000</v>
      </c>
      <c r="E22" s="133">
        <v>30000</v>
      </c>
      <c r="F22" s="121">
        <v>43950</v>
      </c>
      <c r="G22" s="22">
        <v>30000</v>
      </c>
      <c r="H22" s="213">
        <v>58950</v>
      </c>
      <c r="I22" s="133">
        <v>43000</v>
      </c>
      <c r="J22" s="133">
        <v>50000</v>
      </c>
      <c r="K22" s="226">
        <v>47520</v>
      </c>
      <c r="L22" s="133">
        <v>50000</v>
      </c>
      <c r="M22" s="20"/>
      <c r="N22" s="20"/>
      <c r="O22" s="20"/>
      <c r="P22" s="20"/>
      <c r="Q22" s="19"/>
      <c r="R22" s="19"/>
    </row>
    <row r="23" spans="1:18" x14ac:dyDescent="0.2">
      <c r="A23" s="13">
        <v>4300</v>
      </c>
      <c r="B23" s="13" t="s">
        <v>18</v>
      </c>
      <c r="C23" s="167"/>
      <c r="D23" s="133">
        <v>49443.03</v>
      </c>
      <c r="E23" s="133">
        <v>51365</v>
      </c>
      <c r="F23" s="121">
        <v>57684.15</v>
      </c>
      <c r="G23" s="22">
        <v>55000</v>
      </c>
      <c r="H23" s="121">
        <f>47419.56+1608+1608</f>
        <v>50635.56</v>
      </c>
      <c r="I23" s="133">
        <v>55000</v>
      </c>
      <c r="J23" s="133">
        <v>50000</v>
      </c>
      <c r="K23" s="226">
        <v>51300</v>
      </c>
      <c r="L23" s="133">
        <v>55000</v>
      </c>
      <c r="M23" s="20"/>
      <c r="N23" s="20"/>
      <c r="O23" s="20"/>
      <c r="P23" s="20"/>
      <c r="Q23" s="19"/>
      <c r="R23" s="19"/>
    </row>
    <row r="24" spans="1:18" x14ac:dyDescent="0.2">
      <c r="A24" s="13">
        <v>5000</v>
      </c>
      <c r="B24" s="9" t="s">
        <v>203</v>
      </c>
      <c r="C24" s="167"/>
      <c r="D24" s="133"/>
      <c r="E24" s="133"/>
      <c r="F24" s="121"/>
      <c r="G24" s="22"/>
      <c r="H24" s="121"/>
      <c r="I24" s="133"/>
      <c r="J24" s="133"/>
      <c r="K24" s="226">
        <v>275</v>
      </c>
      <c r="L24" s="133"/>
      <c r="M24" s="20"/>
      <c r="N24" s="20"/>
      <c r="O24" s="20"/>
      <c r="P24" s="20"/>
      <c r="Q24" s="19"/>
      <c r="R24" s="19"/>
    </row>
    <row r="25" spans="1:18" x14ac:dyDescent="0.2">
      <c r="A25" s="13">
        <v>6315</v>
      </c>
      <c r="B25" s="13" t="s">
        <v>22</v>
      </c>
      <c r="C25" s="167"/>
      <c r="D25" s="133">
        <v>1457</v>
      </c>
      <c r="E25" s="133">
        <v>590</v>
      </c>
      <c r="F25" s="121"/>
      <c r="G25" s="22">
        <v>1000</v>
      </c>
      <c r="H25" s="121">
        <v>646.24</v>
      </c>
      <c r="I25" s="133">
        <v>1000</v>
      </c>
      <c r="J25" s="133"/>
      <c r="K25" s="226">
        <v>1114</v>
      </c>
      <c r="L25" s="133"/>
      <c r="M25" s="20"/>
      <c r="N25" s="20"/>
      <c r="O25" s="20"/>
      <c r="P25" s="20"/>
      <c r="Q25" s="19"/>
      <c r="R25" s="19"/>
    </row>
    <row r="26" spans="1:18" x14ac:dyDescent="0.2">
      <c r="A26" s="13">
        <v>6316</v>
      </c>
      <c r="B26" s="13" t="s">
        <v>39</v>
      </c>
      <c r="C26" s="167"/>
      <c r="D26" s="133"/>
      <c r="E26" s="133"/>
      <c r="F26" s="121"/>
      <c r="G26" s="22"/>
      <c r="H26" s="121">
        <f>3000-3000</f>
        <v>0</v>
      </c>
      <c r="I26" s="133"/>
      <c r="J26" s="133"/>
      <c r="K26" s="133"/>
      <c r="L26" s="133"/>
      <c r="M26" s="20"/>
      <c r="N26" s="20"/>
      <c r="O26" s="20"/>
      <c r="P26" s="20"/>
      <c r="Q26" s="19"/>
      <c r="R26" s="19"/>
    </row>
    <row r="27" spans="1:18" x14ac:dyDescent="0.2">
      <c r="A27" s="13">
        <v>6320</v>
      </c>
      <c r="B27" s="13" t="s">
        <v>23</v>
      </c>
      <c r="C27" s="167"/>
      <c r="D27" s="133"/>
      <c r="E27" s="133"/>
      <c r="F27" s="121">
        <v>2450</v>
      </c>
      <c r="G27" s="22"/>
      <c r="H27" s="121">
        <v>2695</v>
      </c>
      <c r="I27" s="133"/>
      <c r="J27" s="133"/>
      <c r="K27" s="133"/>
      <c r="L27" s="133"/>
      <c r="M27" s="20"/>
      <c r="N27" s="20"/>
      <c r="O27" s="20"/>
      <c r="P27" s="20"/>
      <c r="Q27" s="19"/>
      <c r="R27" s="19"/>
    </row>
    <row r="28" spans="1:18" x14ac:dyDescent="0.2">
      <c r="A28" s="13">
        <v>6340</v>
      </c>
      <c r="B28" s="13" t="s">
        <v>41</v>
      </c>
      <c r="C28" s="167"/>
      <c r="D28" s="133">
        <v>1934.62</v>
      </c>
      <c r="E28" s="133"/>
      <c r="F28" s="121"/>
      <c r="G28" s="22"/>
      <c r="H28" s="121"/>
      <c r="I28" s="133"/>
      <c r="J28" s="133"/>
      <c r="K28" s="133"/>
      <c r="L28" s="133"/>
      <c r="M28" s="20"/>
      <c r="N28" s="20"/>
      <c r="O28" s="20"/>
      <c r="P28" s="20"/>
      <c r="Q28" s="19"/>
      <c r="R28" s="19"/>
    </row>
    <row r="29" spans="1:18" x14ac:dyDescent="0.2">
      <c r="A29" s="13">
        <v>6340</v>
      </c>
      <c r="B29" s="13" t="s">
        <v>42</v>
      </c>
      <c r="C29" s="167"/>
      <c r="D29" s="133"/>
      <c r="E29" s="133"/>
      <c r="F29" s="121"/>
      <c r="G29" s="22"/>
      <c r="H29" s="213">
        <v>5791.56</v>
      </c>
      <c r="I29" s="133"/>
      <c r="J29" s="133"/>
      <c r="K29" s="226">
        <v>3035.94</v>
      </c>
      <c r="L29" s="133"/>
      <c r="M29" s="20"/>
      <c r="N29" s="20"/>
      <c r="O29" s="20"/>
      <c r="P29" s="20"/>
      <c r="Q29" s="19"/>
      <c r="R29" s="19"/>
    </row>
    <row r="30" spans="1:18" x14ac:dyDescent="0.2">
      <c r="A30" s="13">
        <v>6550</v>
      </c>
      <c r="B30" s="13" t="s">
        <v>40</v>
      </c>
      <c r="C30" s="167"/>
      <c r="D30" s="133">
        <v>77655.44</v>
      </c>
      <c r="E30" s="133">
        <v>22258</v>
      </c>
      <c r="F30" s="121">
        <v>70143</v>
      </c>
      <c r="G30" s="22">
        <v>70000</v>
      </c>
      <c r="H30" s="121">
        <v>899</v>
      </c>
      <c r="I30" s="133">
        <v>20000</v>
      </c>
      <c r="J30" s="133">
        <v>20000</v>
      </c>
      <c r="K30" s="226">
        <v>4489.2</v>
      </c>
      <c r="L30" s="133">
        <v>8000</v>
      </c>
      <c r="M30" s="20"/>
      <c r="N30" s="20"/>
      <c r="O30" s="20"/>
      <c r="P30" s="16"/>
      <c r="Q30" s="19"/>
      <c r="R30" s="19"/>
    </row>
    <row r="31" spans="1:18" x14ac:dyDescent="0.2">
      <c r="A31" s="13">
        <v>6600</v>
      </c>
      <c r="B31" s="13" t="s">
        <v>24</v>
      </c>
      <c r="C31" s="167"/>
      <c r="D31" s="133"/>
      <c r="E31" s="133"/>
      <c r="F31" s="121">
        <v>991.9</v>
      </c>
      <c r="G31" s="22"/>
      <c r="H31" s="121"/>
      <c r="I31" s="133"/>
      <c r="J31" s="133"/>
      <c r="K31" s="133"/>
      <c r="L31" s="133"/>
      <c r="M31" s="20"/>
      <c r="N31" s="20"/>
      <c r="O31" s="20"/>
      <c r="P31" s="20"/>
      <c r="Q31" s="19"/>
      <c r="R31" s="19"/>
    </row>
    <row r="32" spans="1:18" x14ac:dyDescent="0.2">
      <c r="A32" s="13">
        <v>6620</v>
      </c>
      <c r="B32" s="13" t="s">
        <v>25</v>
      </c>
      <c r="C32" s="167"/>
      <c r="D32" s="133"/>
      <c r="E32" s="133"/>
      <c r="F32" s="121">
        <v>5563</v>
      </c>
      <c r="G32" s="22"/>
      <c r="H32" s="121">
        <f>20398-20398</f>
        <v>0</v>
      </c>
      <c r="I32" s="133"/>
      <c r="J32" s="133"/>
      <c r="K32" s="133"/>
      <c r="L32" s="133"/>
      <c r="M32" s="20"/>
      <c r="N32" s="20"/>
      <c r="O32" s="20"/>
      <c r="P32" s="20"/>
      <c r="Q32" s="19"/>
      <c r="R32" s="19"/>
    </row>
    <row r="33" spans="1:18" x14ac:dyDescent="0.2">
      <c r="A33" s="13">
        <v>6630</v>
      </c>
      <c r="B33" s="13" t="s">
        <v>47</v>
      </c>
      <c r="C33" s="167"/>
      <c r="D33" s="133"/>
      <c r="E33" s="133"/>
      <c r="F33" s="121"/>
      <c r="G33" s="22"/>
      <c r="H33" s="121"/>
      <c r="I33" s="133"/>
      <c r="J33" s="133"/>
      <c r="K33" s="226">
        <v>549</v>
      </c>
      <c r="L33" s="133"/>
      <c r="M33" s="20"/>
      <c r="N33" s="20"/>
      <c r="O33" s="20"/>
      <c r="P33" s="20"/>
      <c r="Q33" s="19"/>
      <c r="R33" s="19"/>
    </row>
    <row r="34" spans="1:18" x14ac:dyDescent="0.2">
      <c r="A34" s="13">
        <v>6705</v>
      </c>
      <c r="B34" s="23" t="s">
        <v>28</v>
      </c>
      <c r="C34" s="169"/>
      <c r="D34" s="133">
        <v>47858</v>
      </c>
      <c r="E34" s="133">
        <f>65910-0.5</f>
        <v>65909.5</v>
      </c>
      <c r="F34" s="121">
        <v>66560.87</v>
      </c>
      <c r="G34" s="22">
        <v>65000</v>
      </c>
      <c r="H34" s="121">
        <v>91868.55</v>
      </c>
      <c r="I34" s="133">
        <v>65000</v>
      </c>
      <c r="J34" s="133">
        <v>85000</v>
      </c>
      <c r="K34" s="226">
        <v>51009</v>
      </c>
      <c r="L34" s="133">
        <f>30000+10000</f>
        <v>40000</v>
      </c>
      <c r="M34" s="20" t="s">
        <v>215</v>
      </c>
      <c r="N34" s="20"/>
      <c r="O34" s="20"/>
      <c r="P34" s="20"/>
      <c r="Q34" s="19"/>
      <c r="R34" s="19"/>
    </row>
    <row r="35" spans="1:18" x14ac:dyDescent="0.2">
      <c r="A35" s="13">
        <v>6800</v>
      </c>
      <c r="B35" s="13" t="s">
        <v>43</v>
      </c>
      <c r="C35" s="167"/>
      <c r="D35" s="133">
        <v>860</v>
      </c>
      <c r="E35" s="133">
        <f>2594-0.5</f>
        <v>2593.5</v>
      </c>
      <c r="F35" s="121">
        <v>3454.38</v>
      </c>
      <c r="G35" s="22">
        <v>3000</v>
      </c>
      <c r="H35" s="121">
        <v>19</v>
      </c>
      <c r="I35" s="133">
        <v>3000</v>
      </c>
      <c r="J35" s="133"/>
      <c r="K35" s="226">
        <v>2565.6800000000003</v>
      </c>
      <c r="L35" s="133"/>
      <c r="M35" s="20"/>
      <c r="N35" s="20"/>
      <c r="O35" s="20"/>
      <c r="P35" s="20"/>
      <c r="Q35" s="21"/>
      <c r="R35" s="19"/>
    </row>
    <row r="36" spans="1:18" x14ac:dyDescent="0.2">
      <c r="A36" s="13">
        <v>6840</v>
      </c>
      <c r="B36" s="13" t="s">
        <v>26</v>
      </c>
      <c r="C36" s="167"/>
      <c r="D36" s="133"/>
      <c r="E36" s="133"/>
      <c r="F36" s="121"/>
      <c r="G36" s="22"/>
      <c r="H36" s="121"/>
      <c r="I36" s="133"/>
      <c r="J36" s="133"/>
      <c r="K36" s="133"/>
      <c r="L36" s="133"/>
      <c r="M36" s="20"/>
      <c r="N36" s="20"/>
      <c r="O36" s="20"/>
      <c r="P36" s="20"/>
      <c r="Q36" s="19"/>
      <c r="R36" s="19"/>
    </row>
    <row r="37" spans="1:18" x14ac:dyDescent="0.2">
      <c r="A37" s="13">
        <v>6860</v>
      </c>
      <c r="B37" s="13" t="s">
        <v>27</v>
      </c>
      <c r="C37" s="167"/>
      <c r="D37" s="133">
        <v>2983.5</v>
      </c>
      <c r="E37" s="133">
        <f>2932-0.5</f>
        <v>2931.5</v>
      </c>
      <c r="F37" s="121">
        <v>2166</v>
      </c>
      <c r="G37" s="22">
        <v>3000</v>
      </c>
      <c r="H37" s="121">
        <v>537.09</v>
      </c>
      <c r="I37" s="133">
        <v>2000</v>
      </c>
      <c r="J37" s="133">
        <v>1000</v>
      </c>
      <c r="K37" s="226">
        <v>7071.06</v>
      </c>
      <c r="L37" s="133"/>
      <c r="M37" s="20"/>
      <c r="N37" s="20"/>
      <c r="O37" s="20"/>
      <c r="P37" s="20"/>
      <c r="Q37" s="19"/>
      <c r="R37" s="19"/>
    </row>
    <row r="38" spans="1:18" x14ac:dyDescent="0.2">
      <c r="A38" s="13">
        <v>6900</v>
      </c>
      <c r="B38" s="23" t="s">
        <v>44</v>
      </c>
      <c r="C38" s="169"/>
      <c r="D38" s="133"/>
      <c r="E38" s="133"/>
      <c r="F38" s="121">
        <v>1000</v>
      </c>
      <c r="G38" s="22"/>
      <c r="H38" s="121">
        <v>1059.81</v>
      </c>
      <c r="I38" s="133"/>
      <c r="J38" s="133"/>
      <c r="K38" s="226">
        <v>2674</v>
      </c>
      <c r="L38" s="133">
        <v>3000</v>
      </c>
      <c r="M38" s="20" t="s">
        <v>217</v>
      </c>
      <c r="N38" s="20"/>
      <c r="O38" s="20"/>
      <c r="P38" s="20"/>
      <c r="Q38" s="19"/>
      <c r="R38" s="19"/>
    </row>
    <row r="39" spans="1:18" x14ac:dyDescent="0.2">
      <c r="A39" s="13">
        <v>6940</v>
      </c>
      <c r="B39" s="13" t="s">
        <v>29</v>
      </c>
      <c r="C39" s="167"/>
      <c r="D39" s="133"/>
      <c r="E39" s="133">
        <v>1277</v>
      </c>
      <c r="F39" s="121">
        <v>1625.75</v>
      </c>
      <c r="G39" s="22">
        <v>1000</v>
      </c>
      <c r="H39" s="121">
        <v>2047.45</v>
      </c>
      <c r="I39" s="133">
        <v>1000</v>
      </c>
      <c r="J39" s="133">
        <v>2000</v>
      </c>
      <c r="K39" s="226">
        <v>1092</v>
      </c>
      <c r="L39" s="133">
        <v>2000</v>
      </c>
      <c r="M39" s="20"/>
      <c r="N39" s="20"/>
      <c r="O39" s="20"/>
      <c r="P39" s="20"/>
      <c r="Q39" s="19"/>
      <c r="R39" s="19"/>
    </row>
    <row r="40" spans="1:18" x14ac:dyDescent="0.2">
      <c r="A40" s="13">
        <v>7000</v>
      </c>
      <c r="B40" s="13" t="s">
        <v>48</v>
      </c>
      <c r="C40" s="167"/>
      <c r="D40" s="133"/>
      <c r="E40" s="133"/>
      <c r="F40" s="121"/>
      <c r="G40" s="22"/>
      <c r="H40" s="121">
        <v>1084.0899999999999</v>
      </c>
      <c r="I40" s="133"/>
      <c r="J40" s="133"/>
      <c r="K40" s="226">
        <v>2228.33</v>
      </c>
      <c r="L40" s="133"/>
      <c r="M40" s="20"/>
      <c r="N40" s="20"/>
      <c r="O40" s="20"/>
      <c r="P40" s="20"/>
      <c r="Q40" s="19"/>
      <c r="R40" s="19"/>
    </row>
    <row r="41" spans="1:18" x14ac:dyDescent="0.2">
      <c r="A41" s="13">
        <v>7140</v>
      </c>
      <c r="B41" s="13" t="s">
        <v>45</v>
      </c>
      <c r="C41" s="167"/>
      <c r="D41" s="133"/>
      <c r="E41" s="133"/>
      <c r="F41" s="121">
        <v>2160</v>
      </c>
      <c r="G41" s="22"/>
      <c r="H41" s="121"/>
      <c r="I41" s="133"/>
      <c r="J41" s="133"/>
      <c r="K41" s="133"/>
      <c r="L41" s="133"/>
      <c r="M41" s="20"/>
      <c r="N41" s="20"/>
      <c r="O41" s="20"/>
      <c r="P41" s="20"/>
      <c r="Q41" s="19"/>
      <c r="R41" s="19"/>
    </row>
    <row r="42" spans="1:18" x14ac:dyDescent="0.2">
      <c r="A42" s="13">
        <v>7320</v>
      </c>
      <c r="B42" s="23" t="s">
        <v>30</v>
      </c>
      <c r="C42" s="169"/>
      <c r="D42" s="133"/>
      <c r="E42" s="133">
        <v>1024</v>
      </c>
      <c r="F42" s="121"/>
      <c r="G42" s="22">
        <v>1000</v>
      </c>
      <c r="H42" s="213">
        <v>16277.5</v>
      </c>
      <c r="I42" s="133">
        <v>1000</v>
      </c>
      <c r="J42" s="133">
        <v>2000</v>
      </c>
      <c r="K42" s="226">
        <v>1077.5</v>
      </c>
      <c r="L42" s="133">
        <v>1000</v>
      </c>
      <c r="M42" s="20"/>
      <c r="N42" s="20"/>
      <c r="O42" s="20"/>
      <c r="P42" s="20"/>
      <c r="Q42" s="19"/>
      <c r="R42" s="19"/>
    </row>
    <row r="43" spans="1:18" x14ac:dyDescent="0.2">
      <c r="A43" s="13">
        <v>7400</v>
      </c>
      <c r="B43" s="13" t="s">
        <v>31</v>
      </c>
      <c r="C43" s="167"/>
      <c r="D43" s="133">
        <v>1000</v>
      </c>
      <c r="E43" s="133">
        <v>1000</v>
      </c>
      <c r="F43" s="121">
        <v>1000</v>
      </c>
      <c r="G43" s="22">
        <v>1000</v>
      </c>
      <c r="H43" s="121">
        <v>4000</v>
      </c>
      <c r="I43" s="133">
        <v>1000</v>
      </c>
      <c r="J43" s="133">
        <v>1000</v>
      </c>
      <c r="K43" s="226">
        <v>1000</v>
      </c>
      <c r="L43" s="133">
        <v>1000</v>
      </c>
      <c r="M43" s="20"/>
      <c r="N43" s="20"/>
      <c r="O43" s="20"/>
      <c r="P43" s="20"/>
      <c r="Q43" s="19"/>
      <c r="R43" s="19"/>
    </row>
    <row r="44" spans="1:18" x14ac:dyDescent="0.2">
      <c r="A44" s="13">
        <v>7420</v>
      </c>
      <c r="B44" s="13" t="s">
        <v>12</v>
      </c>
      <c r="C44" s="167"/>
      <c r="D44" s="133">
        <v>5000</v>
      </c>
      <c r="E44" s="133">
        <v>2910</v>
      </c>
      <c r="F44" s="121">
        <v>4389.3999999999996</v>
      </c>
      <c r="G44" s="22">
        <v>3000</v>
      </c>
      <c r="H44" s="121">
        <v>5014</v>
      </c>
      <c r="I44" s="133">
        <v>3000</v>
      </c>
      <c r="J44" s="133">
        <v>4500</v>
      </c>
      <c r="K44" s="226">
        <v>9494</v>
      </c>
      <c r="L44" s="133">
        <v>4500</v>
      </c>
      <c r="M44" s="20"/>
      <c r="N44" s="20"/>
      <c r="O44" s="20"/>
      <c r="P44" s="20"/>
      <c r="Q44" s="19"/>
      <c r="R44" s="19"/>
    </row>
    <row r="45" spans="1:18" x14ac:dyDescent="0.2">
      <c r="A45" s="13">
        <v>7500</v>
      </c>
      <c r="B45" s="13" t="s">
        <v>21</v>
      </c>
      <c r="C45" s="167"/>
      <c r="D45" s="133">
        <v>71372</v>
      </c>
      <c r="E45" s="133">
        <f>72517-6345-0.4</f>
        <v>66171.600000000006</v>
      </c>
      <c r="F45" s="121">
        <f>54480+6345</f>
        <v>60825</v>
      </c>
      <c r="G45" s="22">
        <v>60000</v>
      </c>
      <c r="H45" s="121">
        <f>-51335+29816+29816+16986+16986</f>
        <v>42269</v>
      </c>
      <c r="I45" s="133">
        <v>60000</v>
      </c>
      <c r="J45" s="133">
        <v>45000</v>
      </c>
      <c r="K45" s="226">
        <v>28908</v>
      </c>
      <c r="L45" s="133">
        <v>30000</v>
      </c>
      <c r="M45" s="20"/>
      <c r="N45" s="20"/>
      <c r="O45" s="20"/>
      <c r="P45" s="20"/>
      <c r="Q45" s="19"/>
      <c r="R45" s="19"/>
    </row>
    <row r="46" spans="1:18" s="142" customFormat="1" x14ac:dyDescent="0.2">
      <c r="A46" s="13">
        <v>7745</v>
      </c>
      <c r="B46" s="13" t="s">
        <v>90</v>
      </c>
      <c r="C46" s="167"/>
      <c r="D46" s="133"/>
      <c r="E46" s="133"/>
      <c r="F46" s="121"/>
      <c r="G46" s="133">
        <v>5000</v>
      </c>
      <c r="H46" s="121">
        <v>0.4</v>
      </c>
      <c r="I46" s="133">
        <v>5000</v>
      </c>
      <c r="J46" s="133">
        <v>10000</v>
      </c>
      <c r="K46" s="133"/>
      <c r="L46" s="133">
        <v>5000</v>
      </c>
      <c r="M46" s="20"/>
      <c r="N46" s="20"/>
      <c r="O46" s="20"/>
      <c r="P46" s="20"/>
      <c r="Q46" s="19"/>
      <c r="R46" s="19"/>
    </row>
    <row r="47" spans="1:18" x14ac:dyDescent="0.2">
      <c r="A47" s="13">
        <v>7750</v>
      </c>
      <c r="B47" s="13" t="s">
        <v>32</v>
      </c>
      <c r="C47" s="167"/>
      <c r="D47" s="133"/>
      <c r="E47" s="133"/>
      <c r="F47" s="121">
        <v>5320.6</v>
      </c>
      <c r="G47" s="22"/>
      <c r="H47" s="121">
        <v>0</v>
      </c>
      <c r="I47" s="133"/>
      <c r="J47" s="133"/>
      <c r="K47" s="133"/>
      <c r="L47" s="133"/>
      <c r="M47" s="20"/>
      <c r="N47" s="20"/>
      <c r="O47" s="20"/>
      <c r="P47" s="20"/>
      <c r="Q47" s="19"/>
      <c r="R47" s="19"/>
    </row>
    <row r="48" spans="1:18" x14ac:dyDescent="0.2">
      <c r="A48" s="13">
        <v>7755</v>
      </c>
      <c r="B48" s="13" t="s">
        <v>33</v>
      </c>
      <c r="C48" s="167"/>
      <c r="D48" s="133">
        <v>10000</v>
      </c>
      <c r="E48" s="133"/>
      <c r="F48" s="121"/>
      <c r="G48" s="22"/>
      <c r="H48" s="121"/>
      <c r="I48" s="133"/>
      <c r="J48" s="133"/>
      <c r="K48" s="133"/>
      <c r="L48" s="133"/>
      <c r="M48" s="20"/>
      <c r="N48" s="20"/>
      <c r="O48" s="20"/>
      <c r="P48" s="20"/>
      <c r="Q48" s="19"/>
      <c r="R48" s="19"/>
    </row>
    <row r="49" spans="1:18" x14ac:dyDescent="0.2">
      <c r="A49" s="13">
        <v>7770</v>
      </c>
      <c r="B49" s="13" t="s">
        <v>86</v>
      </c>
      <c r="C49" s="167"/>
      <c r="D49" s="133">
        <f>1871.93+6</f>
        <v>1877.93</v>
      </c>
      <c r="E49" s="133">
        <v>1812</v>
      </c>
      <c r="F49" s="121">
        <v>2323</v>
      </c>
      <c r="G49" s="22">
        <v>2000</v>
      </c>
      <c r="H49" s="121">
        <v>2645</v>
      </c>
      <c r="I49" s="133">
        <v>2000</v>
      </c>
      <c r="J49" s="133">
        <v>2500</v>
      </c>
      <c r="K49" s="226">
        <v>3447</v>
      </c>
      <c r="L49" s="133">
        <v>5000</v>
      </c>
      <c r="M49" s="20" t="s">
        <v>218</v>
      </c>
      <c r="N49" s="20"/>
      <c r="O49" s="20"/>
      <c r="P49" s="20"/>
      <c r="Q49" s="19"/>
      <c r="R49" s="19"/>
    </row>
    <row r="50" spans="1:18" x14ac:dyDescent="0.2">
      <c r="A50" s="13">
        <v>7790</v>
      </c>
      <c r="B50" s="13" t="s">
        <v>34</v>
      </c>
      <c r="C50" s="167"/>
      <c r="D50" s="133">
        <v>6366.38</v>
      </c>
      <c r="E50" s="133">
        <v>11165</v>
      </c>
      <c r="F50" s="121">
        <v>11249.16</v>
      </c>
      <c r="G50" s="22">
        <v>10000</v>
      </c>
      <c r="H50" s="121">
        <v>-2166</v>
      </c>
      <c r="I50" s="133">
        <v>10000</v>
      </c>
      <c r="J50" s="133">
        <v>1000</v>
      </c>
      <c r="K50" s="226">
        <v>6379</v>
      </c>
      <c r="L50" s="133">
        <v>2000</v>
      </c>
      <c r="M50" s="20"/>
      <c r="N50" s="20"/>
      <c r="O50" s="20"/>
      <c r="P50" s="20"/>
      <c r="Q50" s="19"/>
      <c r="R50" s="19"/>
    </row>
    <row r="51" spans="1:18" x14ac:dyDescent="0.2">
      <c r="A51" s="13">
        <v>6010</v>
      </c>
      <c r="B51" s="23" t="s">
        <v>119</v>
      </c>
      <c r="C51" s="169"/>
      <c r="D51" s="133"/>
      <c r="E51" s="133"/>
      <c r="F51" s="121"/>
      <c r="G51" s="22"/>
      <c r="H51" s="121"/>
      <c r="I51" s="133"/>
      <c r="J51" s="133"/>
      <c r="K51" s="237">
        <v>8697</v>
      </c>
      <c r="L51" s="133"/>
      <c r="M51" s="20"/>
      <c r="N51" s="20"/>
      <c r="O51" s="20"/>
      <c r="P51" s="20"/>
      <c r="Q51" s="19"/>
      <c r="R51" s="19"/>
    </row>
    <row r="52" spans="1:18" x14ac:dyDescent="0.2">
      <c r="A52" s="13"/>
      <c r="B52" s="26" t="s">
        <v>36</v>
      </c>
      <c r="C52" s="166"/>
      <c r="D52" s="139">
        <f>SUM(D20:D51)</f>
        <v>307807.89999999997</v>
      </c>
      <c r="E52" s="139">
        <f t="shared" ref="E52:L52" si="1">SUM(E19:E51)</f>
        <v>261214.1</v>
      </c>
      <c r="F52" s="139">
        <f t="shared" si="1"/>
        <v>342856.20999999996</v>
      </c>
      <c r="G52" s="32">
        <f>SUM(G19:G51)</f>
        <v>310000</v>
      </c>
      <c r="H52" s="139">
        <f t="shared" si="1"/>
        <v>284273.25</v>
      </c>
      <c r="I52" s="139">
        <f t="shared" si="1"/>
        <v>272000</v>
      </c>
      <c r="J52" s="139">
        <f t="shared" si="1"/>
        <v>274000</v>
      </c>
      <c r="K52" s="139">
        <f t="shared" si="1"/>
        <v>233925.71</v>
      </c>
      <c r="L52" s="139">
        <f t="shared" si="1"/>
        <v>206500</v>
      </c>
      <c r="M52" s="20"/>
      <c r="N52" s="20"/>
      <c r="O52" s="20"/>
      <c r="P52" s="20"/>
      <c r="Q52" s="19"/>
      <c r="R52" s="19"/>
    </row>
    <row r="53" spans="1:18" x14ac:dyDescent="0.2">
      <c r="A53" s="13"/>
      <c r="B53" s="33"/>
      <c r="C53" s="172"/>
      <c r="D53" s="137"/>
      <c r="E53" s="137"/>
      <c r="F53" s="137"/>
      <c r="G53" s="29"/>
      <c r="H53" s="137"/>
      <c r="I53" s="137"/>
      <c r="J53" s="137"/>
      <c r="K53" s="137"/>
      <c r="L53" s="137"/>
      <c r="M53" s="20"/>
      <c r="N53" s="20"/>
      <c r="O53" s="20"/>
      <c r="P53" s="20"/>
      <c r="Q53" s="19"/>
      <c r="R53" s="19"/>
    </row>
    <row r="54" spans="1:18" x14ac:dyDescent="0.2">
      <c r="A54" s="13"/>
      <c r="B54" s="26" t="s">
        <v>38</v>
      </c>
      <c r="C54" s="166"/>
      <c r="D54" s="139">
        <f>(D18-D52)</f>
        <v>27774.040000000037</v>
      </c>
      <c r="E54" s="139">
        <f t="shared" ref="E54:L54" si="2">E18-E52</f>
        <v>372629.9</v>
      </c>
      <c r="F54" s="139">
        <f t="shared" si="2"/>
        <v>137065.90000000002</v>
      </c>
      <c r="G54" s="32">
        <f t="shared" si="2"/>
        <v>126000</v>
      </c>
      <c r="H54" s="139">
        <f t="shared" si="2"/>
        <v>271895.69999999995</v>
      </c>
      <c r="I54" s="139">
        <f t="shared" si="2"/>
        <v>163000</v>
      </c>
      <c r="J54" s="139">
        <f t="shared" si="2"/>
        <v>174000</v>
      </c>
      <c r="K54" s="139">
        <f t="shared" si="2"/>
        <v>207234.34000000005</v>
      </c>
      <c r="L54" s="139">
        <f t="shared" si="2"/>
        <v>203500</v>
      </c>
      <c r="M54" s="20"/>
      <c r="N54" s="20"/>
      <c r="O54" s="20"/>
      <c r="P54" s="20"/>
      <c r="Q54" s="19"/>
      <c r="R54" s="19"/>
    </row>
    <row r="55" spans="1:18" x14ac:dyDescent="0.2">
      <c r="A55" s="23"/>
      <c r="B55" s="23"/>
      <c r="C55" s="169"/>
      <c r="D55" s="134"/>
      <c r="E55" s="134"/>
      <c r="F55" s="134"/>
      <c r="G55" s="23"/>
      <c r="H55" s="134"/>
      <c r="I55" s="134"/>
      <c r="J55" s="134"/>
      <c r="K55" s="134"/>
      <c r="L55" s="134"/>
      <c r="M55" s="15"/>
      <c r="N55" s="15"/>
      <c r="O55" s="20"/>
      <c r="P55" s="20"/>
      <c r="Q55" s="19"/>
      <c r="R55" s="19"/>
    </row>
    <row r="56" spans="1:18" x14ac:dyDescent="0.2">
      <c r="A56" s="23"/>
      <c r="B56" s="24" t="s">
        <v>49</v>
      </c>
      <c r="C56" s="173"/>
      <c r="D56" s="135"/>
      <c r="E56" s="135"/>
      <c r="F56" s="135"/>
      <c r="G56" s="25"/>
      <c r="H56" s="135"/>
      <c r="I56" s="135"/>
      <c r="J56" s="135"/>
      <c r="K56" s="135"/>
      <c r="L56" s="135"/>
      <c r="M56" s="15"/>
      <c r="N56" s="15"/>
    </row>
    <row r="57" spans="1:18" x14ac:dyDescent="0.2">
      <c r="A57" s="23"/>
      <c r="B57" s="23" t="s">
        <v>50</v>
      </c>
      <c r="C57" s="169"/>
      <c r="D57" s="135">
        <f>28574.06+95.08</f>
        <v>28669.140000000003</v>
      </c>
      <c r="E57" s="135">
        <v>40145</v>
      </c>
      <c r="F57" s="135">
        <v>25461.61</v>
      </c>
      <c r="G57" s="25">
        <v>35000</v>
      </c>
      <c r="H57" s="135">
        <v>14141.19</v>
      </c>
      <c r="I57" s="135">
        <v>25000</v>
      </c>
      <c r="J57" s="135">
        <v>15000</v>
      </c>
      <c r="K57" s="135">
        <v>13085</v>
      </c>
      <c r="L57" s="135">
        <v>12000</v>
      </c>
      <c r="M57" s="15"/>
      <c r="N57" s="15"/>
    </row>
    <row r="58" spans="1:18" x14ac:dyDescent="0.2">
      <c r="A58" s="23"/>
      <c r="B58" s="23" t="s">
        <v>52</v>
      </c>
      <c r="C58" s="169"/>
      <c r="D58" s="135"/>
      <c r="E58" s="135"/>
      <c r="F58" s="135"/>
      <c r="G58" s="25"/>
      <c r="H58" s="135"/>
      <c r="I58" s="135"/>
      <c r="J58" s="135"/>
      <c r="K58" s="135"/>
      <c r="L58" s="135"/>
    </row>
    <row r="59" spans="1:18" x14ac:dyDescent="0.2">
      <c r="A59" s="23"/>
      <c r="B59" s="34" t="s">
        <v>53</v>
      </c>
      <c r="C59" s="174"/>
      <c r="D59" s="140">
        <f t="shared" ref="D59:K59" si="3">D57-D58</f>
        <v>28669.140000000003</v>
      </c>
      <c r="E59" s="140">
        <f t="shared" si="3"/>
        <v>40145</v>
      </c>
      <c r="F59" s="140">
        <f t="shared" si="3"/>
        <v>25461.61</v>
      </c>
      <c r="G59" s="35">
        <f t="shared" si="3"/>
        <v>35000</v>
      </c>
      <c r="H59" s="140">
        <f t="shared" si="3"/>
        <v>14141.19</v>
      </c>
      <c r="I59" s="140">
        <f t="shared" si="3"/>
        <v>25000</v>
      </c>
      <c r="J59" s="140">
        <f t="shared" si="3"/>
        <v>15000</v>
      </c>
      <c r="K59" s="140">
        <f t="shared" si="3"/>
        <v>13085</v>
      </c>
      <c r="L59" s="140">
        <v>13000</v>
      </c>
    </row>
    <row r="60" spans="1:18" x14ac:dyDescent="0.2">
      <c r="A60" s="23"/>
      <c r="B60" s="23"/>
      <c r="C60" s="169"/>
      <c r="D60" s="135"/>
      <c r="E60" s="135"/>
      <c r="F60" s="135"/>
      <c r="G60" s="25"/>
      <c r="H60" s="135"/>
      <c r="I60" s="135"/>
      <c r="J60" s="135"/>
      <c r="K60" s="135"/>
      <c r="L60" s="135"/>
    </row>
    <row r="61" spans="1:18" x14ac:dyDescent="0.2">
      <c r="A61" s="23"/>
      <c r="B61" s="36" t="s">
        <v>37</v>
      </c>
      <c r="C61" s="175"/>
      <c r="D61" s="141">
        <f t="shared" ref="D61:L61" si="4">D54+D59</f>
        <v>56443.180000000037</v>
      </c>
      <c r="E61" s="141">
        <f t="shared" si="4"/>
        <v>412774.9</v>
      </c>
      <c r="F61" s="141">
        <f t="shared" si="4"/>
        <v>162527.51</v>
      </c>
      <c r="G61" s="37">
        <f t="shared" si="4"/>
        <v>161000</v>
      </c>
      <c r="H61" s="141">
        <f t="shared" si="4"/>
        <v>286036.88999999996</v>
      </c>
      <c r="I61" s="141">
        <f t="shared" si="4"/>
        <v>188000</v>
      </c>
      <c r="J61" s="141">
        <f t="shared" si="4"/>
        <v>189000</v>
      </c>
      <c r="K61" s="141">
        <f t="shared" si="4"/>
        <v>220319.34000000005</v>
      </c>
      <c r="L61" s="141">
        <f t="shared" si="4"/>
        <v>216500</v>
      </c>
    </row>
    <row r="63" spans="1:18" x14ac:dyDescent="0.2">
      <c r="B63" s="113" t="s">
        <v>85</v>
      </c>
      <c r="C63" s="113"/>
    </row>
  </sheetData>
  <pageMargins left="0.7" right="0.7" top="0.75" bottom="0.75" header="0.3" footer="0.3"/>
  <pageSetup paperSize="9" scale="48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66"/>
  <sheetViews>
    <sheetView workbookViewId="0">
      <pane xSplit="2" ySplit="3" topLeftCell="E17" activePane="bottomRight" state="frozen"/>
      <selection pane="topRight" activeCell="C1" sqref="C1"/>
      <selection pane="bottomLeft" activeCell="A4" sqref="A4"/>
      <selection pane="bottomRight" activeCell="L6" sqref="L6"/>
    </sheetView>
  </sheetViews>
  <sheetFormatPr baseColWidth="10" defaultRowHeight="15" x14ac:dyDescent="0.2"/>
  <cols>
    <col min="1" max="1" width="6.6640625" customWidth="1"/>
    <col min="2" max="2" width="26.6640625" customWidth="1"/>
    <col min="3" max="3" width="8.5" style="142" customWidth="1"/>
    <col min="4" max="4" width="14.5" bestFit="1" customWidth="1"/>
    <col min="5" max="5" width="15.6640625" customWidth="1"/>
    <col min="6" max="6" width="15.6640625" bestFit="1" customWidth="1"/>
    <col min="7" max="7" width="13.33203125" bestFit="1" customWidth="1"/>
    <col min="8" max="8" width="15.6640625" style="142" customWidth="1"/>
    <col min="9" max="12" width="13.33203125" style="142" customWidth="1"/>
  </cols>
  <sheetData>
    <row r="1" spans="1:13" ht="23" x14ac:dyDescent="0.25">
      <c r="B1" s="1" t="s">
        <v>141</v>
      </c>
      <c r="C1" s="1"/>
      <c r="D1" s="2"/>
      <c r="E1" s="3"/>
      <c r="F1" s="3"/>
      <c r="G1" s="3"/>
      <c r="H1" s="3"/>
      <c r="I1" s="3"/>
      <c r="J1" s="3"/>
      <c r="K1" s="3"/>
      <c r="L1" s="3"/>
    </row>
    <row r="2" spans="1:13" ht="23" x14ac:dyDescent="0.25">
      <c r="B2" s="1"/>
      <c r="C2" s="1"/>
      <c r="D2" s="2"/>
      <c r="E2" s="3"/>
      <c r="F2" s="3"/>
      <c r="G2" s="3"/>
      <c r="H2" s="3"/>
      <c r="I2" s="3"/>
      <c r="J2" s="3"/>
      <c r="K2" s="3"/>
      <c r="L2" s="3"/>
    </row>
    <row r="3" spans="1:13" x14ac:dyDescent="0.2">
      <c r="A3" s="27" t="s">
        <v>0</v>
      </c>
      <c r="B3" s="26" t="s">
        <v>1</v>
      </c>
      <c r="C3" s="166" t="s">
        <v>75</v>
      </c>
      <c r="D3" s="27" t="s">
        <v>87</v>
      </c>
      <c r="E3" s="27" t="s">
        <v>109</v>
      </c>
      <c r="F3" s="27" t="s">
        <v>133</v>
      </c>
      <c r="G3" s="27" t="s">
        <v>106</v>
      </c>
      <c r="H3" s="27" t="s">
        <v>135</v>
      </c>
      <c r="I3" s="27" t="s">
        <v>125</v>
      </c>
      <c r="J3" s="27" t="s">
        <v>155</v>
      </c>
      <c r="K3" s="27" t="s">
        <v>163</v>
      </c>
      <c r="L3" s="27" t="s">
        <v>195</v>
      </c>
    </row>
    <row r="4" spans="1:13" x14ac:dyDescent="0.2">
      <c r="A4" s="13">
        <v>3110</v>
      </c>
      <c r="B4" s="13" t="s">
        <v>2</v>
      </c>
      <c r="C4" s="167"/>
      <c r="D4" s="136"/>
      <c r="E4" s="136"/>
      <c r="F4" s="136"/>
      <c r="G4" s="28"/>
      <c r="H4" s="136"/>
      <c r="I4" s="136"/>
      <c r="J4" s="136"/>
      <c r="K4" s="136"/>
      <c r="L4" s="136"/>
      <c r="M4" s="225"/>
    </row>
    <row r="5" spans="1:13" x14ac:dyDescent="0.2">
      <c r="A5" s="13">
        <v>3115</v>
      </c>
      <c r="B5" s="13" t="s">
        <v>3</v>
      </c>
      <c r="C5" s="167"/>
      <c r="D5" s="136"/>
      <c r="E5" s="136"/>
      <c r="F5" s="136"/>
      <c r="G5" s="28"/>
      <c r="H5" s="136"/>
      <c r="I5" s="136"/>
      <c r="J5" s="136"/>
      <c r="K5" s="136"/>
      <c r="L5" s="136"/>
      <c r="M5" s="225"/>
    </row>
    <row r="6" spans="1:13" x14ac:dyDescent="0.2">
      <c r="A6" s="13">
        <v>3400</v>
      </c>
      <c r="B6" s="13" t="s">
        <v>4</v>
      </c>
      <c r="C6" s="167"/>
      <c r="D6" s="136">
        <v>107000</v>
      </c>
      <c r="E6" s="136">
        <v>142651</v>
      </c>
      <c r="F6" s="136">
        <v>159850</v>
      </c>
      <c r="G6" s="28">
        <v>150000</v>
      </c>
      <c r="H6" s="136">
        <v>157688</v>
      </c>
      <c r="I6" s="136">
        <v>140000</v>
      </c>
      <c r="J6" s="136">
        <v>155000</v>
      </c>
      <c r="K6" s="136">
        <v>156300</v>
      </c>
      <c r="L6" s="136">
        <v>180000</v>
      </c>
      <c r="M6" s="225"/>
    </row>
    <row r="7" spans="1:13" x14ac:dyDescent="0.2">
      <c r="A7" s="13">
        <v>3440</v>
      </c>
      <c r="B7" s="13" t="s">
        <v>55</v>
      </c>
      <c r="C7" s="167"/>
      <c r="D7" s="136"/>
      <c r="E7" s="136"/>
      <c r="F7" s="136"/>
      <c r="G7" s="28"/>
      <c r="H7" s="136"/>
      <c r="I7" s="136"/>
      <c r="J7" s="136"/>
      <c r="K7" s="136"/>
      <c r="L7" s="136"/>
      <c r="M7" s="225"/>
    </row>
    <row r="8" spans="1:13" x14ac:dyDescent="0.2">
      <c r="A8" s="13">
        <v>3605</v>
      </c>
      <c r="B8" s="13" t="s">
        <v>5</v>
      </c>
      <c r="C8" s="167"/>
      <c r="D8" s="136"/>
      <c r="E8" s="136"/>
      <c r="F8" s="136"/>
      <c r="G8" s="28"/>
      <c r="H8" s="136"/>
      <c r="I8" s="136"/>
      <c r="J8" s="136"/>
      <c r="K8" s="136"/>
      <c r="L8" s="136"/>
      <c r="M8" s="225"/>
    </row>
    <row r="9" spans="1:13" x14ac:dyDescent="0.2">
      <c r="A9" s="13">
        <v>3620</v>
      </c>
      <c r="B9" s="23" t="s">
        <v>89</v>
      </c>
      <c r="C9" s="169"/>
      <c r="D9" s="136"/>
      <c r="E9" s="136"/>
      <c r="F9" s="136"/>
      <c r="G9" s="28"/>
      <c r="H9" s="136"/>
      <c r="I9" s="136"/>
      <c r="J9" s="136"/>
      <c r="K9" s="136"/>
      <c r="L9" s="136"/>
      <c r="M9" s="225"/>
    </row>
    <row r="10" spans="1:13" x14ac:dyDescent="0.2">
      <c r="A10" s="13">
        <v>3920</v>
      </c>
      <c r="B10" s="13" t="s">
        <v>6</v>
      </c>
      <c r="C10" s="167"/>
      <c r="D10" s="136"/>
      <c r="E10" s="136"/>
      <c r="F10" s="136"/>
      <c r="G10" s="28"/>
      <c r="H10" s="136"/>
      <c r="I10" s="136"/>
      <c r="J10" s="136"/>
      <c r="K10" s="136"/>
      <c r="L10" s="136"/>
      <c r="M10" s="225"/>
    </row>
    <row r="11" spans="1:13" x14ac:dyDescent="0.2">
      <c r="A11" s="13">
        <v>3925</v>
      </c>
      <c r="B11" s="13" t="s">
        <v>7</v>
      </c>
      <c r="C11" s="167"/>
      <c r="D11" s="136"/>
      <c r="E11" s="136"/>
      <c r="F11" s="136"/>
      <c r="G11" s="28"/>
      <c r="H11" s="136"/>
      <c r="I11" s="136"/>
      <c r="J11" s="136"/>
      <c r="K11" s="136"/>
      <c r="L11" s="136"/>
      <c r="M11" s="225"/>
    </row>
    <row r="12" spans="1:13" x14ac:dyDescent="0.2">
      <c r="A12" s="13">
        <v>3926</v>
      </c>
      <c r="B12" s="23" t="s">
        <v>13</v>
      </c>
      <c r="C12" s="169"/>
      <c r="D12" s="136"/>
      <c r="E12" s="136"/>
      <c r="F12" s="136"/>
      <c r="G12" s="28"/>
      <c r="H12" s="136"/>
      <c r="I12" s="136"/>
      <c r="J12" s="136"/>
      <c r="K12" s="136"/>
      <c r="L12" s="136"/>
      <c r="M12" s="225"/>
    </row>
    <row r="13" spans="1:13" x14ac:dyDescent="0.2">
      <c r="A13" s="13">
        <v>3950</v>
      </c>
      <c r="B13" s="13" t="s">
        <v>9</v>
      </c>
      <c r="C13" s="167"/>
      <c r="D13" s="136"/>
      <c r="E13" s="136"/>
      <c r="F13" s="136"/>
      <c r="G13" s="28"/>
      <c r="H13" s="136"/>
      <c r="I13" s="136"/>
      <c r="J13" s="136"/>
      <c r="K13" s="136"/>
      <c r="L13" s="136"/>
      <c r="M13" s="225"/>
    </row>
    <row r="14" spans="1:13" x14ac:dyDescent="0.2">
      <c r="A14" s="13">
        <v>3970</v>
      </c>
      <c r="B14" s="13" t="s">
        <v>10</v>
      </c>
      <c r="C14" s="167"/>
      <c r="D14" s="136"/>
      <c r="E14" s="136"/>
      <c r="F14" s="136"/>
      <c r="G14" s="28"/>
      <c r="H14" s="136"/>
      <c r="I14" s="136"/>
      <c r="J14" s="136"/>
      <c r="K14" s="136"/>
      <c r="L14" s="136"/>
      <c r="M14" s="225"/>
    </row>
    <row r="15" spans="1:13" x14ac:dyDescent="0.2">
      <c r="A15" s="13">
        <v>3975</v>
      </c>
      <c r="B15" s="13" t="s">
        <v>11</v>
      </c>
      <c r="C15" s="167"/>
      <c r="D15" s="136"/>
      <c r="E15" s="136"/>
      <c r="F15" s="136"/>
      <c r="G15" s="28"/>
      <c r="H15" s="136"/>
      <c r="I15" s="136"/>
      <c r="J15" s="136"/>
      <c r="K15" s="136"/>
      <c r="L15" s="136"/>
      <c r="M15" s="225"/>
    </row>
    <row r="16" spans="1:13" x14ac:dyDescent="0.2">
      <c r="A16" s="13">
        <v>3980</v>
      </c>
      <c r="B16" s="13" t="s">
        <v>12</v>
      </c>
      <c r="C16" s="167"/>
      <c r="D16" s="136"/>
      <c r="E16" s="136"/>
      <c r="F16" s="136"/>
      <c r="G16" s="28"/>
      <c r="H16" s="136"/>
      <c r="I16" s="136"/>
      <c r="J16" s="136"/>
      <c r="K16" s="136"/>
      <c r="L16" s="136"/>
      <c r="M16" s="225"/>
    </row>
    <row r="17" spans="1:13" x14ac:dyDescent="0.2">
      <c r="A17" s="13">
        <v>3990</v>
      </c>
      <c r="B17" s="23" t="s">
        <v>8</v>
      </c>
      <c r="C17" s="169"/>
      <c r="D17" s="136"/>
      <c r="E17" s="136">
        <v>15000</v>
      </c>
      <c r="F17" s="136">
        <v>31000</v>
      </c>
      <c r="G17" s="28">
        <v>31000</v>
      </c>
      <c r="H17" s="212"/>
      <c r="I17" s="136">
        <v>31000</v>
      </c>
      <c r="J17" s="136"/>
      <c r="K17" s="136"/>
      <c r="L17" s="136"/>
      <c r="M17" s="225"/>
    </row>
    <row r="18" spans="1:13" x14ac:dyDescent="0.2">
      <c r="A18" s="13"/>
      <c r="B18" s="30" t="s">
        <v>14</v>
      </c>
      <c r="C18" s="170"/>
      <c r="D18" s="138">
        <f t="shared" ref="D18:L18" si="0">SUM(D4:D17)</f>
        <v>107000</v>
      </c>
      <c r="E18" s="138">
        <f t="shared" si="0"/>
        <v>157651</v>
      </c>
      <c r="F18" s="138">
        <f t="shared" si="0"/>
        <v>190850</v>
      </c>
      <c r="G18" s="31">
        <f>SUM(G4:G17)</f>
        <v>181000</v>
      </c>
      <c r="H18" s="138">
        <f>SUM(H4:H17)</f>
        <v>157688</v>
      </c>
      <c r="I18" s="138">
        <f t="shared" si="0"/>
        <v>171000</v>
      </c>
      <c r="J18" s="138">
        <f t="shared" si="0"/>
        <v>155000</v>
      </c>
      <c r="K18" s="138">
        <f t="shared" si="0"/>
        <v>156300</v>
      </c>
      <c r="L18" s="138">
        <f t="shared" si="0"/>
        <v>180000</v>
      </c>
      <c r="M18" s="225"/>
    </row>
    <row r="19" spans="1:13" x14ac:dyDescent="0.2">
      <c r="A19" s="13"/>
      <c r="B19" s="12" t="s">
        <v>15</v>
      </c>
      <c r="C19" s="171"/>
      <c r="D19" s="133"/>
      <c r="E19" s="133"/>
      <c r="F19" s="133"/>
      <c r="G19" s="22"/>
      <c r="H19" s="133"/>
      <c r="I19" s="133"/>
      <c r="J19" s="133"/>
      <c r="K19" s="133"/>
      <c r="L19" s="133"/>
    </row>
    <row r="20" spans="1:13" x14ac:dyDescent="0.2">
      <c r="A20" s="13">
        <v>4210</v>
      </c>
      <c r="B20" s="13" t="s">
        <v>16</v>
      </c>
      <c r="C20" s="167"/>
      <c r="D20" s="133"/>
      <c r="E20" s="133"/>
      <c r="F20" s="133"/>
      <c r="G20" s="22"/>
      <c r="H20" s="133"/>
      <c r="I20" s="133"/>
      <c r="J20" s="133"/>
      <c r="K20" s="133"/>
      <c r="L20" s="133"/>
    </row>
    <row r="21" spans="1:13" x14ac:dyDescent="0.2">
      <c r="A21" s="13">
        <v>4220</v>
      </c>
      <c r="B21" s="13" t="s">
        <v>17</v>
      </c>
      <c r="C21" s="167"/>
      <c r="D21" s="133"/>
      <c r="E21" s="133"/>
      <c r="F21" s="133"/>
      <c r="G21" s="22"/>
      <c r="H21" s="133"/>
      <c r="I21" s="133"/>
      <c r="J21" s="133"/>
      <c r="K21" s="133"/>
      <c r="L21" s="133"/>
    </row>
    <row r="22" spans="1:13" x14ac:dyDescent="0.2">
      <c r="A22" s="13">
        <v>4225</v>
      </c>
      <c r="B22" s="13" t="s">
        <v>19</v>
      </c>
      <c r="C22" s="167"/>
      <c r="D22" s="133"/>
      <c r="E22" s="133"/>
      <c r="F22" s="133"/>
      <c r="G22" s="22"/>
      <c r="H22" s="133"/>
      <c r="I22" s="133"/>
      <c r="J22" s="133"/>
      <c r="K22" s="133"/>
      <c r="L22" s="133"/>
    </row>
    <row r="23" spans="1:13" x14ac:dyDescent="0.2">
      <c r="A23" s="13">
        <v>4300</v>
      </c>
      <c r="B23" s="13" t="s">
        <v>18</v>
      </c>
      <c r="C23" s="167"/>
      <c r="D23" s="133"/>
      <c r="E23" s="133"/>
      <c r="F23" s="133"/>
      <c r="G23" s="22"/>
      <c r="H23" s="133"/>
      <c r="I23" s="133"/>
      <c r="J23" s="133"/>
      <c r="K23" s="133"/>
      <c r="L23" s="133"/>
    </row>
    <row r="24" spans="1:13" x14ac:dyDescent="0.2">
      <c r="A24" s="13">
        <v>5000</v>
      </c>
      <c r="B24" s="13" t="s">
        <v>20</v>
      </c>
      <c r="C24" s="167"/>
      <c r="D24" s="133"/>
      <c r="E24" s="133"/>
      <c r="F24" s="133"/>
      <c r="G24" s="22"/>
      <c r="H24" s="133"/>
      <c r="I24" s="133"/>
      <c r="J24" s="133"/>
      <c r="K24" s="133"/>
      <c r="L24" s="133"/>
    </row>
    <row r="25" spans="1:13" x14ac:dyDescent="0.2">
      <c r="A25" s="13">
        <v>6315</v>
      </c>
      <c r="B25" s="13" t="s">
        <v>22</v>
      </c>
      <c r="C25" s="167"/>
      <c r="D25" s="133"/>
      <c r="E25" s="133">
        <v>1372</v>
      </c>
      <c r="F25" s="133"/>
      <c r="G25" s="22">
        <v>2000</v>
      </c>
      <c r="H25" s="133">
        <v>7800</v>
      </c>
      <c r="I25" s="133">
        <v>2000</v>
      </c>
      <c r="J25" s="133">
        <v>2000</v>
      </c>
      <c r="K25" s="133"/>
      <c r="L25" s="133"/>
    </row>
    <row r="26" spans="1:13" x14ac:dyDescent="0.2">
      <c r="A26" s="13">
        <v>6316</v>
      </c>
      <c r="B26" s="13" t="s">
        <v>39</v>
      </c>
      <c r="C26" s="167"/>
      <c r="D26" s="133"/>
      <c r="E26" s="133"/>
      <c r="F26" s="133"/>
      <c r="G26" s="22"/>
      <c r="H26" s="133"/>
      <c r="I26" s="133"/>
      <c r="J26" s="133"/>
      <c r="K26" s="226">
        <v>3750</v>
      </c>
      <c r="L26" s="133">
        <v>12000</v>
      </c>
      <c r="M26" t="s">
        <v>219</v>
      </c>
    </row>
    <row r="27" spans="1:13" x14ac:dyDescent="0.2">
      <c r="A27" s="13">
        <v>6317</v>
      </c>
      <c r="B27" s="13" t="s">
        <v>23</v>
      </c>
      <c r="C27" s="167"/>
      <c r="D27" s="133">
        <v>596</v>
      </c>
      <c r="E27" s="133">
        <v>9925</v>
      </c>
      <c r="F27" s="121">
        <f>3542+8286</f>
        <v>11828</v>
      </c>
      <c r="G27" s="22">
        <v>10000</v>
      </c>
      <c r="H27" s="121">
        <v>445</v>
      </c>
      <c r="I27" s="133">
        <v>12000</v>
      </c>
      <c r="J27" s="133">
        <v>6000</v>
      </c>
      <c r="K27" s="226">
        <v>2872.34</v>
      </c>
      <c r="L27" s="133">
        <v>5000</v>
      </c>
    </row>
    <row r="28" spans="1:13" x14ac:dyDescent="0.2">
      <c r="A28" s="13">
        <v>6340</v>
      </c>
      <c r="B28" s="13" t="s">
        <v>41</v>
      </c>
      <c r="C28" s="167"/>
      <c r="D28" s="133"/>
      <c r="E28" s="133"/>
      <c r="F28" s="121"/>
      <c r="G28" s="22"/>
      <c r="H28" s="121"/>
      <c r="I28" s="133"/>
      <c r="J28" s="133"/>
      <c r="K28" s="133"/>
      <c r="L28" s="133"/>
    </row>
    <row r="29" spans="1:13" x14ac:dyDescent="0.2">
      <c r="A29" s="13">
        <v>6320</v>
      </c>
      <c r="B29" s="13" t="s">
        <v>42</v>
      </c>
      <c r="C29" s="167"/>
      <c r="D29" s="133"/>
      <c r="E29" s="133"/>
      <c r="F29" s="121"/>
      <c r="G29" s="22"/>
      <c r="H29" s="213">
        <v>14486.72</v>
      </c>
      <c r="I29" s="133"/>
      <c r="J29" s="133"/>
      <c r="K29" s="226">
        <v>3843.49</v>
      </c>
      <c r="L29" s="133"/>
    </row>
    <row r="30" spans="1:13" x14ac:dyDescent="0.2">
      <c r="A30" s="13">
        <v>6550</v>
      </c>
      <c r="B30" s="13" t="s">
        <v>40</v>
      </c>
      <c r="C30" s="167"/>
      <c r="D30" s="133"/>
      <c r="E30" s="133">
        <v>19345</v>
      </c>
      <c r="F30" s="121">
        <v>3000</v>
      </c>
      <c r="G30" s="22">
        <v>10000</v>
      </c>
      <c r="H30" s="121">
        <v>7265.43</v>
      </c>
      <c r="I30" s="133">
        <v>10000</v>
      </c>
      <c r="J30" s="133">
        <v>50000</v>
      </c>
      <c r="K30" s="133"/>
      <c r="L30" s="133">
        <v>10000</v>
      </c>
      <c r="M30" t="s">
        <v>220</v>
      </c>
    </row>
    <row r="31" spans="1:13" x14ac:dyDescent="0.2">
      <c r="A31" s="13">
        <v>6600</v>
      </c>
      <c r="B31" s="13" t="s">
        <v>24</v>
      </c>
      <c r="C31" s="167"/>
      <c r="D31" s="133"/>
      <c r="E31" s="133">
        <v>2113</v>
      </c>
      <c r="F31" s="121"/>
      <c r="G31" s="22">
        <v>2000</v>
      </c>
      <c r="H31" s="121">
        <v>0</v>
      </c>
      <c r="I31" s="133">
        <v>2000</v>
      </c>
      <c r="J31" s="133">
        <v>2000</v>
      </c>
      <c r="K31" s="133"/>
      <c r="L31" s="133"/>
    </row>
    <row r="32" spans="1:13" x14ac:dyDescent="0.2">
      <c r="A32" s="13">
        <v>6620</v>
      </c>
      <c r="B32" s="13" t="s">
        <v>25</v>
      </c>
      <c r="C32" s="167"/>
      <c r="D32" s="133">
        <v>2788</v>
      </c>
      <c r="E32" s="133">
        <v>1401</v>
      </c>
      <c r="F32" s="121">
        <v>30625</v>
      </c>
      <c r="G32" s="22">
        <v>5000</v>
      </c>
      <c r="H32" s="121">
        <f>16264+10199+10199</f>
        <v>36662</v>
      </c>
      <c r="I32" s="133">
        <v>2000</v>
      </c>
      <c r="J32" s="133">
        <v>25000</v>
      </c>
      <c r="K32" s="226">
        <v>57640.5</v>
      </c>
      <c r="L32" s="133">
        <v>45000</v>
      </c>
    </row>
    <row r="33" spans="1:13" x14ac:dyDescent="0.2">
      <c r="A33" s="13">
        <v>6630</v>
      </c>
      <c r="B33" s="13" t="s">
        <v>47</v>
      </c>
      <c r="C33" s="167"/>
      <c r="D33" s="133">
        <v>43807</v>
      </c>
      <c r="E33" s="133">
        <v>21695</v>
      </c>
      <c r="F33" s="121">
        <v>50812</v>
      </c>
      <c r="G33" s="22">
        <v>50000</v>
      </c>
      <c r="H33" s="121">
        <v>21863</v>
      </c>
      <c r="I33" s="133">
        <v>40000</v>
      </c>
      <c r="J33" s="133">
        <v>20000</v>
      </c>
      <c r="K33" s="226">
        <v>16832</v>
      </c>
      <c r="L33" s="133">
        <v>50000</v>
      </c>
      <c r="M33" t="s">
        <v>221</v>
      </c>
    </row>
    <row r="34" spans="1:13" x14ac:dyDescent="0.2">
      <c r="A34" s="13">
        <v>6705</v>
      </c>
      <c r="B34" s="23" t="s">
        <v>28</v>
      </c>
      <c r="C34" s="169"/>
      <c r="D34" s="133"/>
      <c r="E34" s="133"/>
      <c r="F34" s="121"/>
      <c r="G34" s="22"/>
      <c r="H34" s="121"/>
      <c r="I34" s="133"/>
      <c r="J34" s="133"/>
      <c r="K34" s="133"/>
      <c r="L34" s="133"/>
    </row>
    <row r="35" spans="1:13" x14ac:dyDescent="0.2">
      <c r="A35" s="13">
        <v>6800</v>
      </c>
      <c r="B35" s="13" t="s">
        <v>43</v>
      </c>
      <c r="C35" s="167"/>
      <c r="D35" s="133"/>
      <c r="E35" s="133"/>
      <c r="F35" s="121"/>
      <c r="G35" s="22"/>
      <c r="H35" s="121"/>
      <c r="I35" s="133"/>
      <c r="J35" s="133"/>
      <c r="K35" s="133"/>
      <c r="L35" s="133"/>
    </row>
    <row r="36" spans="1:13" x14ac:dyDescent="0.2">
      <c r="A36" s="13">
        <v>6840</v>
      </c>
      <c r="B36" s="13" t="s">
        <v>26</v>
      </c>
      <c r="C36" s="167"/>
      <c r="D36" s="133"/>
      <c r="E36" s="133"/>
      <c r="F36" s="121"/>
      <c r="G36" s="22"/>
      <c r="H36" s="121"/>
      <c r="I36" s="133"/>
      <c r="J36" s="133"/>
      <c r="K36" s="133"/>
      <c r="L36" s="133"/>
    </row>
    <row r="37" spans="1:13" x14ac:dyDescent="0.2">
      <c r="A37" s="13">
        <v>6860</v>
      </c>
      <c r="B37" s="13" t="s">
        <v>27</v>
      </c>
      <c r="C37" s="167"/>
      <c r="D37" s="133"/>
      <c r="E37" s="133"/>
      <c r="F37" s="121"/>
      <c r="G37" s="22"/>
      <c r="H37" s="121"/>
      <c r="I37" s="133"/>
      <c r="J37" s="133"/>
      <c r="K37" s="133"/>
      <c r="L37" s="133"/>
    </row>
    <row r="38" spans="1:13" x14ac:dyDescent="0.2">
      <c r="A38" s="13">
        <v>6900</v>
      </c>
      <c r="B38" s="23" t="s">
        <v>44</v>
      </c>
      <c r="C38" s="169"/>
      <c r="D38" s="133"/>
      <c r="E38" s="133"/>
      <c r="F38" s="121"/>
      <c r="G38" s="22"/>
      <c r="H38" s="121"/>
      <c r="I38" s="133"/>
      <c r="J38" s="133"/>
      <c r="K38" s="133"/>
      <c r="L38" s="133"/>
    </row>
    <row r="39" spans="1:13" x14ac:dyDescent="0.2">
      <c r="A39" s="13">
        <v>6940</v>
      </c>
      <c r="B39" s="13" t="s">
        <v>29</v>
      </c>
      <c r="C39" s="167"/>
      <c r="D39" s="133"/>
      <c r="E39" s="133"/>
      <c r="F39" s="121"/>
      <c r="G39" s="22"/>
      <c r="H39" s="121"/>
      <c r="I39" s="133"/>
      <c r="J39" s="133"/>
      <c r="K39" s="133"/>
      <c r="L39" s="133"/>
    </row>
    <row r="40" spans="1:13" x14ac:dyDescent="0.2">
      <c r="A40" s="13">
        <v>7000</v>
      </c>
      <c r="B40" s="13" t="s">
        <v>48</v>
      </c>
      <c r="C40" s="167"/>
      <c r="D40" s="133">
        <v>20721.95</v>
      </c>
      <c r="E40" s="133">
        <f>1969+18919</f>
        <v>20888</v>
      </c>
      <c r="F40" s="121">
        <v>15194.23</v>
      </c>
      <c r="G40" s="22">
        <v>20000</v>
      </c>
      <c r="H40" s="121">
        <f>-687.44+6331+6331</f>
        <v>11974.56</v>
      </c>
      <c r="I40" s="133">
        <v>20000</v>
      </c>
      <c r="J40" s="133">
        <v>12000</v>
      </c>
      <c r="K40" s="226">
        <v>10331.240000000002</v>
      </c>
      <c r="L40" s="133">
        <v>15000</v>
      </c>
    </row>
    <row r="41" spans="1:13" x14ac:dyDescent="0.2">
      <c r="A41" s="13">
        <v>7140</v>
      </c>
      <c r="B41" s="13" t="s">
        <v>45</v>
      </c>
      <c r="C41" s="167"/>
      <c r="D41" s="133"/>
      <c r="E41" s="133"/>
      <c r="F41" s="121"/>
      <c r="G41" s="22"/>
      <c r="H41" s="121"/>
      <c r="I41" s="133"/>
      <c r="J41" s="133"/>
      <c r="K41" s="133"/>
      <c r="L41" s="133"/>
    </row>
    <row r="42" spans="1:13" x14ac:dyDescent="0.2">
      <c r="A42" s="13">
        <v>7320</v>
      </c>
      <c r="B42" s="23" t="s">
        <v>30</v>
      </c>
      <c r="C42" s="169"/>
      <c r="D42" s="133"/>
      <c r="E42" s="133"/>
      <c r="F42" s="121"/>
      <c r="G42" s="22"/>
      <c r="H42" s="121"/>
      <c r="I42" s="133"/>
      <c r="J42" s="133"/>
      <c r="K42" s="133"/>
      <c r="L42" s="133"/>
    </row>
    <row r="43" spans="1:13" x14ac:dyDescent="0.2">
      <c r="A43" s="13">
        <v>7400</v>
      </c>
      <c r="B43" s="13" t="s">
        <v>31</v>
      </c>
      <c r="C43" s="167"/>
      <c r="D43" s="133"/>
      <c r="E43" s="133"/>
      <c r="F43" s="121"/>
      <c r="G43" s="22"/>
      <c r="H43" s="121"/>
      <c r="I43" s="133"/>
      <c r="J43" s="133"/>
      <c r="K43" s="133"/>
      <c r="L43" s="133"/>
    </row>
    <row r="44" spans="1:13" x14ac:dyDescent="0.2">
      <c r="A44" s="13">
        <v>7420</v>
      </c>
      <c r="B44" s="13" t="s">
        <v>12</v>
      </c>
      <c r="C44" s="167"/>
      <c r="D44" s="133"/>
      <c r="E44" s="133"/>
      <c r="F44" s="121"/>
      <c r="G44" s="22"/>
      <c r="H44" s="121"/>
      <c r="I44" s="133"/>
      <c r="J44" s="133"/>
      <c r="K44" s="133"/>
      <c r="L44" s="133"/>
    </row>
    <row r="45" spans="1:13" x14ac:dyDescent="0.2">
      <c r="A45" s="13">
        <v>7500</v>
      </c>
      <c r="B45" s="13" t="s">
        <v>21</v>
      </c>
      <c r="C45" s="167"/>
      <c r="D45" s="133"/>
      <c r="E45" s="133"/>
      <c r="F45" s="121"/>
      <c r="G45" s="22"/>
      <c r="H45" s="121"/>
      <c r="I45" s="133"/>
      <c r="J45" s="133"/>
      <c r="K45" s="133"/>
      <c r="L45" s="133"/>
    </row>
    <row r="46" spans="1:13" s="142" customFormat="1" x14ac:dyDescent="0.2">
      <c r="A46" s="13">
        <v>7745</v>
      </c>
      <c r="B46" s="13" t="s">
        <v>90</v>
      </c>
      <c r="C46" s="167"/>
      <c r="D46" s="133"/>
      <c r="E46" s="133"/>
      <c r="F46" s="121"/>
      <c r="G46" s="133"/>
      <c r="H46" s="121"/>
      <c r="I46" s="133"/>
      <c r="J46" s="133"/>
      <c r="K46" s="133"/>
      <c r="L46" s="133"/>
    </row>
    <row r="47" spans="1:13" x14ac:dyDescent="0.2">
      <c r="A47" s="13">
        <v>7750</v>
      </c>
      <c r="B47" s="13" t="s">
        <v>32</v>
      </c>
      <c r="C47" s="167"/>
      <c r="D47" s="133"/>
      <c r="E47" s="133"/>
      <c r="F47" s="121">
        <v>4750</v>
      </c>
      <c r="G47" s="22"/>
      <c r="H47" s="121"/>
      <c r="I47" s="133"/>
      <c r="J47" s="133"/>
      <c r="K47" s="133"/>
      <c r="L47" s="133"/>
    </row>
    <row r="48" spans="1:13" x14ac:dyDescent="0.2">
      <c r="A48" s="13">
        <v>7755</v>
      </c>
      <c r="B48" s="13" t="s">
        <v>33</v>
      </c>
      <c r="C48" s="167"/>
      <c r="D48" s="133"/>
      <c r="E48" s="133"/>
      <c r="F48" s="121"/>
      <c r="G48" s="22"/>
      <c r="H48" s="121"/>
      <c r="I48" s="133"/>
      <c r="J48" s="133"/>
      <c r="K48" s="133"/>
      <c r="L48" s="133"/>
    </row>
    <row r="49" spans="1:12" x14ac:dyDescent="0.2">
      <c r="A49" s="13">
        <v>7770</v>
      </c>
      <c r="B49" s="13" t="s">
        <v>46</v>
      </c>
      <c r="C49" s="167"/>
      <c r="D49" s="133"/>
      <c r="E49" s="133"/>
      <c r="F49" s="121"/>
      <c r="G49" s="22"/>
      <c r="H49" s="121"/>
      <c r="I49" s="133"/>
      <c r="J49" s="133"/>
      <c r="K49" s="133"/>
      <c r="L49" s="133"/>
    </row>
    <row r="50" spans="1:12" x14ac:dyDescent="0.2">
      <c r="A50" s="13">
        <v>7790</v>
      </c>
      <c r="B50" s="13" t="s">
        <v>34</v>
      </c>
      <c r="C50" s="167"/>
      <c r="D50" s="133">
        <v>830</v>
      </c>
      <c r="E50" s="133">
        <v>425</v>
      </c>
      <c r="F50" s="121"/>
      <c r="G50" s="22">
        <v>1000</v>
      </c>
      <c r="H50" s="121"/>
      <c r="I50" s="133">
        <v>1000</v>
      </c>
      <c r="J50" s="133"/>
      <c r="K50" s="133"/>
      <c r="L50" s="133"/>
    </row>
    <row r="51" spans="1:12" x14ac:dyDescent="0.2">
      <c r="A51" s="13">
        <v>6010</v>
      </c>
      <c r="B51" s="23" t="s">
        <v>35</v>
      </c>
      <c r="C51" s="169"/>
      <c r="D51" s="133">
        <v>40684</v>
      </c>
      <c r="E51" s="133">
        <f>8697+31987</f>
        <v>40684</v>
      </c>
      <c r="F51" s="121">
        <v>74983</v>
      </c>
      <c r="G51" s="22">
        <f>40000+31000+35000</f>
        <v>106000</v>
      </c>
      <c r="H51" s="121">
        <v>74983</v>
      </c>
      <c r="I51" s="133">
        <v>75000</v>
      </c>
      <c r="J51" s="133">
        <v>66000</v>
      </c>
      <c r="K51" s="226">
        <v>66750</v>
      </c>
      <c r="L51" s="133">
        <v>67000</v>
      </c>
    </row>
    <row r="52" spans="1:12" x14ac:dyDescent="0.2">
      <c r="A52" s="13"/>
      <c r="B52" s="26" t="s">
        <v>36</v>
      </c>
      <c r="C52" s="166"/>
      <c r="D52" s="139">
        <f>SUM(D20:D51)</f>
        <v>109426.95</v>
      </c>
      <c r="E52" s="139">
        <f t="shared" ref="E52:L52" si="1">SUM(E19:E51)</f>
        <v>117848</v>
      </c>
      <c r="F52" s="139">
        <f t="shared" si="1"/>
        <v>191192.22999999998</v>
      </c>
      <c r="G52" s="32">
        <f>SUM(G19:G51)</f>
        <v>206000</v>
      </c>
      <c r="H52" s="139">
        <f t="shared" si="1"/>
        <v>175479.71</v>
      </c>
      <c r="I52" s="139">
        <f t="shared" si="1"/>
        <v>164000</v>
      </c>
      <c r="J52" s="139">
        <f t="shared" si="1"/>
        <v>183000</v>
      </c>
      <c r="K52" s="139">
        <f t="shared" si="1"/>
        <v>162019.57</v>
      </c>
      <c r="L52" s="139">
        <f t="shared" si="1"/>
        <v>204000</v>
      </c>
    </row>
    <row r="53" spans="1:12" x14ac:dyDescent="0.2">
      <c r="A53" s="13"/>
      <c r="B53" s="33"/>
      <c r="C53" s="172"/>
      <c r="D53" s="137"/>
      <c r="E53" s="137"/>
      <c r="F53" s="137"/>
      <c r="G53" s="29"/>
      <c r="H53" s="137"/>
      <c r="I53" s="137"/>
      <c r="J53" s="137"/>
      <c r="K53" s="137"/>
      <c r="L53" s="137"/>
    </row>
    <row r="54" spans="1:12" x14ac:dyDescent="0.2">
      <c r="A54" s="13"/>
      <c r="B54" s="26" t="s">
        <v>38</v>
      </c>
      <c r="C54" s="166"/>
      <c r="D54" s="139">
        <f>(D18-D52)</f>
        <v>-2426.9499999999971</v>
      </c>
      <c r="E54" s="139">
        <f t="shared" ref="E54:L54" si="2">E18-E52</f>
        <v>39803</v>
      </c>
      <c r="F54" s="139">
        <f t="shared" si="2"/>
        <v>-342.22999999998137</v>
      </c>
      <c r="G54" s="32">
        <f t="shared" si="2"/>
        <v>-25000</v>
      </c>
      <c r="H54" s="139">
        <f t="shared" si="2"/>
        <v>-17791.709999999992</v>
      </c>
      <c r="I54" s="139">
        <f t="shared" si="2"/>
        <v>7000</v>
      </c>
      <c r="J54" s="139">
        <f t="shared" si="2"/>
        <v>-28000</v>
      </c>
      <c r="K54" s="139">
        <f t="shared" si="2"/>
        <v>-5719.570000000007</v>
      </c>
      <c r="L54" s="139">
        <f t="shared" si="2"/>
        <v>-24000</v>
      </c>
    </row>
    <row r="55" spans="1:12" x14ac:dyDescent="0.2">
      <c r="A55" s="23"/>
      <c r="B55" s="23"/>
      <c r="C55" s="169"/>
      <c r="D55" s="134"/>
      <c r="E55" s="134"/>
      <c r="F55" s="134"/>
      <c r="G55" s="23"/>
      <c r="H55" s="134"/>
      <c r="I55" s="134"/>
      <c r="J55" s="134"/>
      <c r="K55" s="134"/>
      <c r="L55" s="134"/>
    </row>
    <row r="56" spans="1:12" x14ac:dyDescent="0.2">
      <c r="A56" s="23"/>
      <c r="B56" s="24" t="s">
        <v>49</v>
      </c>
      <c r="C56" s="173"/>
      <c r="D56" s="135"/>
      <c r="E56" s="135"/>
      <c r="F56" s="135"/>
      <c r="G56" s="25"/>
      <c r="H56" s="135"/>
      <c r="I56" s="135"/>
      <c r="J56" s="135"/>
      <c r="K56" s="135"/>
      <c r="L56" s="135"/>
    </row>
    <row r="57" spans="1:12" x14ac:dyDescent="0.2">
      <c r="A57" s="23"/>
      <c r="B57" s="23" t="s">
        <v>50</v>
      </c>
      <c r="C57" s="169"/>
      <c r="D57" s="135"/>
      <c r="E57" s="135"/>
      <c r="F57" s="135"/>
      <c r="G57" s="25"/>
      <c r="H57" s="135"/>
      <c r="I57" s="135"/>
      <c r="J57" s="135"/>
      <c r="K57" s="135"/>
      <c r="L57" s="135"/>
    </row>
    <row r="58" spans="1:12" x14ac:dyDescent="0.2">
      <c r="A58" s="23"/>
      <c r="B58" s="23" t="s">
        <v>52</v>
      </c>
      <c r="C58" s="169"/>
      <c r="D58" s="135"/>
      <c r="E58" s="135"/>
      <c r="F58" s="135"/>
      <c r="G58" s="25"/>
      <c r="H58" s="135"/>
      <c r="I58" s="135"/>
      <c r="J58" s="135"/>
      <c r="K58" s="135"/>
      <c r="L58" s="135"/>
    </row>
    <row r="59" spans="1:12" x14ac:dyDescent="0.2">
      <c r="A59" s="23"/>
      <c r="B59" s="34" t="s">
        <v>53</v>
      </c>
      <c r="C59" s="174"/>
      <c r="D59" s="140">
        <f t="shared" ref="D59:I59" si="3">D57-D58</f>
        <v>0</v>
      </c>
      <c r="E59" s="140">
        <f t="shared" si="3"/>
        <v>0</v>
      </c>
      <c r="F59" s="140">
        <f t="shared" si="3"/>
        <v>0</v>
      </c>
      <c r="G59" s="35">
        <f t="shared" si="3"/>
        <v>0</v>
      </c>
      <c r="H59" s="140">
        <f t="shared" si="3"/>
        <v>0</v>
      </c>
      <c r="I59" s="140">
        <f t="shared" si="3"/>
        <v>0</v>
      </c>
      <c r="J59" s="140"/>
      <c r="K59" s="140"/>
      <c r="L59" s="140"/>
    </row>
    <row r="60" spans="1:12" x14ac:dyDescent="0.2">
      <c r="A60" s="23"/>
      <c r="B60" s="23"/>
      <c r="C60" s="169"/>
      <c r="D60" s="135"/>
      <c r="E60" s="135"/>
      <c r="F60" s="135"/>
      <c r="G60" s="25"/>
      <c r="H60" s="135"/>
      <c r="I60" s="135"/>
      <c r="J60" s="135"/>
      <c r="K60" s="135"/>
      <c r="L60" s="135"/>
    </row>
    <row r="61" spans="1:12" x14ac:dyDescent="0.2">
      <c r="A61" s="23"/>
      <c r="B61" s="36" t="s">
        <v>37</v>
      </c>
      <c r="C61" s="175"/>
      <c r="D61" s="141">
        <f t="shared" ref="D61:J61" si="4">D54+D59</f>
        <v>-2426.9499999999971</v>
      </c>
      <c r="E61" s="141">
        <f t="shared" si="4"/>
        <v>39803</v>
      </c>
      <c r="F61" s="141">
        <f t="shared" si="4"/>
        <v>-342.22999999998137</v>
      </c>
      <c r="G61" s="37">
        <f t="shared" si="4"/>
        <v>-25000</v>
      </c>
      <c r="H61" s="141">
        <f t="shared" si="4"/>
        <v>-17791.709999999992</v>
      </c>
      <c r="I61" s="141">
        <f t="shared" si="4"/>
        <v>7000</v>
      </c>
      <c r="J61" s="141">
        <f t="shared" si="4"/>
        <v>-28000</v>
      </c>
      <c r="K61" s="141"/>
      <c r="L61" s="141"/>
    </row>
    <row r="63" spans="1:12" x14ac:dyDescent="0.2">
      <c r="B63" t="s">
        <v>194</v>
      </c>
    </row>
    <row r="64" spans="1:12" x14ac:dyDescent="0.2">
      <c r="B64" t="s">
        <v>192</v>
      </c>
    </row>
    <row r="65" spans="2:2" x14ac:dyDescent="0.2">
      <c r="B65" t="s">
        <v>191</v>
      </c>
    </row>
    <row r="66" spans="2:2" x14ac:dyDescent="0.2">
      <c r="B66" t="s">
        <v>193</v>
      </c>
    </row>
  </sheetData>
  <pageMargins left="0.7" right="0.7" top="0.75" bottom="0.75" header="0.3" footer="0.3"/>
  <pageSetup paperSize="9" scale="78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2</vt:i4>
      </vt:variant>
    </vt:vector>
  </HeadingPairs>
  <TitlesOfParts>
    <vt:vector size="17" baseType="lpstr">
      <vt:lpstr>Turn </vt:lpstr>
      <vt:lpstr>Ski</vt:lpstr>
      <vt:lpstr>Fotball</vt:lpstr>
      <vt:lpstr>Fotball lagvis</vt:lpstr>
      <vt:lpstr>Sykkel</vt:lpstr>
      <vt:lpstr>G &amp; T</vt:lpstr>
      <vt:lpstr>TKD</vt:lpstr>
      <vt:lpstr>Hovedlaget</vt:lpstr>
      <vt:lpstr>Anlegg</vt:lpstr>
      <vt:lpstr>Prestmarka</vt:lpstr>
      <vt:lpstr>Blilie</vt:lpstr>
      <vt:lpstr>Regnskap-Budsjett 2017</vt:lpstr>
      <vt:lpstr>Investeringer </vt:lpstr>
      <vt:lpstr>Ark1</vt:lpstr>
      <vt:lpstr>Balanse2017</vt:lpstr>
      <vt:lpstr>'Regnskap-Budsjett 2017'!Utskriftsområde</vt:lpstr>
      <vt:lpstr>'Regnskap-Budsjett 2017'!Utskriftstitler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</dc:creator>
  <cp:lastModifiedBy>Eirik Bådsvik Hamre Korsen</cp:lastModifiedBy>
  <cp:lastPrinted>2015-11-11T18:03:19Z</cp:lastPrinted>
  <dcterms:created xsi:type="dcterms:W3CDTF">2013-10-28T13:40:44Z</dcterms:created>
  <dcterms:modified xsi:type="dcterms:W3CDTF">2018-03-08T20:48:50Z</dcterms:modified>
</cp:coreProperties>
</file>